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ema.mt.gov.br\pastas\docs\pasta_25\2. GAQ\2021\LICITAÇÃO\TOMADA DE PREÇOS\PROCESSO 465789.2021 - DUD'S\PLANILHAS\"/>
    </mc:Choice>
  </mc:AlternateContent>
  <bookViews>
    <workbookView xWindow="0" yWindow="0" windowWidth="20490" windowHeight="7650" firstSheet="1" activeTab="1"/>
  </bookViews>
  <sheets>
    <sheet name="CRONOGRAMA SEM DESONERAÇÃO" sheetId="4" r:id="rId1"/>
    <sheet name="RESUMO SEM DESONERAÇÃO" sheetId="2" r:id="rId2"/>
    <sheet name="PLANILHA SEM DESON" sheetId="36" r:id="rId3"/>
    <sheet name="COMP CIVIL" sheetId="24" r:id="rId4"/>
    <sheet name="COMP ELE" sheetId="31" r:id="rId5"/>
    <sheet name="COMP ESTRUT" sheetId="35" r:id="rId6"/>
    <sheet name="COMP HIDR" sheetId="29" r:id="rId7"/>
    <sheet name="COMP ETE" sheetId="45" r:id="rId8"/>
    <sheet name="QT IMPLANTAÇÃO ARQ" sheetId="49" r:id="rId9"/>
    <sheet name="QT ESTRUTURAL" sheetId="48" r:id="rId10"/>
    <sheet name="QTITATIVO ELÉTRICA" sheetId="51" r:id="rId11"/>
    <sheet name="QTITQTIVO ARQ" sheetId="50" r:id="rId12"/>
    <sheet name="QTITATIVO MURETA" sheetId="43" r:id="rId13"/>
    <sheet name="QTITQTIVO ETE - ADELMO" sheetId="44" r:id="rId14"/>
    <sheet name="LISTA DE MAT HIDROSSAN" sheetId="30" r:id="rId15"/>
    <sheet name="BDI NÃO DESONERADO" sheetId="26" r:id="rId16"/>
  </sheets>
  <externalReferences>
    <externalReference r:id="rId17"/>
    <externalReference r:id="rId18"/>
  </externalReferences>
  <definedNames>
    <definedName name="ACF">'QTITQTIVO ETE - ADELMO'!$B$21</definedName>
    <definedName name="ADELMO">'QTITQTIVO ETE - ADELMO'!$B$15</definedName>
    <definedName name="_xlnm.Print_Area" localSheetId="15">'BDI NÃO DESONERADO'!$A$1:$C$26</definedName>
    <definedName name="_xlnm.Print_Area" localSheetId="3">'COMP CIVIL'!$A$1:$F$508</definedName>
    <definedName name="_xlnm.Print_Area" localSheetId="4">'COMP ELE'!$A$1:$F$626</definedName>
    <definedName name="_xlnm.Print_Area" localSheetId="5">'COMP ESTRUT'!$A$1:$F$138</definedName>
    <definedName name="_xlnm.Print_Area" localSheetId="7">'COMP ETE'!$A$1:$F$41</definedName>
    <definedName name="_xlnm.Print_Area" localSheetId="0">'CRONOGRAMA SEM DESONERAÇÃO'!$A$1:$M$41</definedName>
    <definedName name="_xlnm.Print_Area" localSheetId="2">'PLANILHA SEM DESON'!$A$1:$I$434</definedName>
    <definedName name="_xlnm.Print_Area" localSheetId="9">'QT ESTRUTURAL'!$A$1:$C$87</definedName>
    <definedName name="_xlnm.Print_Area" localSheetId="13">'QTITQTIVO ETE - ADELMO'!$A$1:$F$39</definedName>
    <definedName name="_xlnm.Print_Area" localSheetId="1">'RESUMO SEM DESONERAÇÃO'!$A$1:$E$41</definedName>
    <definedName name="Cb">'QTITQTIVO ETE - ADELMO'!$B$14</definedName>
    <definedName name="Ce">'QTITQTIVO ETE - ADELMO'!$B$10</definedName>
    <definedName name="CFO">'QTITQTIVO ETE - ADELMO'!$B$11</definedName>
    <definedName name="CiFi">'QTITQTIVO ETE - ADELMO'!$B$9</definedName>
    <definedName name="CiFo">'QTITQTIVO ETE - ADELMO'!$B$8</definedName>
    <definedName name="COMP_NÃODESONERADO">[1]COMP_NÃODESONERADO!$A$1:$D$6698</definedName>
    <definedName name="Dch">'QTITQTIVO ETE - ADELMO'!$B$19</definedName>
    <definedName name="Dcs">'QTITQTIVO ETE - ADELMO'!$B$31</definedName>
    <definedName name="DIs">'QTITQTIVO ETE - ADELMO'!$B$26</definedName>
    <definedName name="Eb">'QTITQTIVO ETE - ADELMO'!$B$12</definedName>
    <definedName name="ESGOTO">'QTITQTIVO ETE - ADELMO'!$B$10</definedName>
    <definedName name="Et">'QTITQTIVO ETE - ADELMO'!$B$15</definedName>
    <definedName name="ETE">'QTITQTIVO ETE - ADELMO'!$B$6</definedName>
    <definedName name="Ets">'QTITQTIVO ETE - ADELMO'!$B$29</definedName>
    <definedName name="Hch">'QTITQTIVO ETE - ADELMO'!$B$18</definedName>
    <definedName name="Hcs">'QTITQTIVO ETE - ADELMO'!$B$30</definedName>
    <definedName name="His">'QTITQTIVO ETE - ADELMO'!$B$28</definedName>
    <definedName name="Hit">'QTITQTIVO ETE - ADELMO'!$B$11</definedName>
    <definedName name="INSNÃODES">[1]INSNÃODES!$A$1:$D$5829</definedName>
    <definedName name="KKKKKK">'QTITQTIVO ETE - ADELMO'!$B$19</definedName>
    <definedName name="Lb">'QTITQTIVO ETE - ADELMO'!$B$13</definedName>
    <definedName name="Le">'QTITQTIVO ETE - ADELMO'!$B$7</definedName>
    <definedName name="Li">'QTITQTIVO ETE - ADELMO'!$B$6</definedName>
    <definedName name="Pt">'QTITQTIVO ETE - ADELMO'!$B$20</definedName>
    <definedName name="Pts">'QTITQTIVO ETE - ADELMO'!$B$32</definedName>
  </definedNames>
  <calcPr calcId="162913"/>
</workbook>
</file>

<file path=xl/calcChain.xml><?xml version="1.0" encoding="utf-8"?>
<calcChain xmlns="http://schemas.openxmlformats.org/spreadsheetml/2006/main">
  <c r="K174" i="49" l="1"/>
  <c r="L174" i="49" s="1"/>
  <c r="F415" i="36" l="1"/>
  <c r="H415" i="36"/>
  <c r="I415" i="36" s="1"/>
  <c r="D77" i="49"/>
  <c r="H189" i="31" l="1"/>
  <c r="H188" i="31"/>
  <c r="H187" i="31"/>
  <c r="J20" i="36" l="1"/>
  <c r="F622" i="31" l="1"/>
  <c r="F621" i="31"/>
  <c r="F623" i="31" s="1"/>
  <c r="F618" i="31"/>
  <c r="F617" i="31"/>
  <c r="F610" i="31"/>
  <c r="F609" i="31"/>
  <c r="F611" i="31" s="1"/>
  <c r="F606" i="31"/>
  <c r="F605" i="31"/>
  <c r="F598" i="31"/>
  <c r="F597" i="31"/>
  <c r="F594" i="31"/>
  <c r="F593" i="31"/>
  <c r="F586" i="31"/>
  <c r="F585" i="31"/>
  <c r="F582" i="31"/>
  <c r="F581" i="31"/>
  <c r="F574" i="31"/>
  <c r="F573" i="31"/>
  <c r="F570" i="31"/>
  <c r="F569" i="31"/>
  <c r="J562" i="31"/>
  <c r="C564" i="31"/>
  <c r="F556" i="31"/>
  <c r="F557" i="31" s="1"/>
  <c r="F553" i="31"/>
  <c r="F552" i="31"/>
  <c r="C547" i="31"/>
  <c r="J545" i="31"/>
  <c r="C542" i="31"/>
  <c r="J541" i="31"/>
  <c r="J540" i="31"/>
  <c r="F534" i="31"/>
  <c r="F531" i="31"/>
  <c r="F530" i="31"/>
  <c r="F529" i="31"/>
  <c r="F522" i="31"/>
  <c r="F523" i="31" s="1"/>
  <c r="F519" i="31"/>
  <c r="F518" i="31"/>
  <c r="C207" i="31"/>
  <c r="F199" i="31"/>
  <c r="F200" i="31" s="1"/>
  <c r="F196" i="31"/>
  <c r="F195" i="31"/>
  <c r="C190" i="31"/>
  <c r="F182" i="31"/>
  <c r="F183" i="31" s="1"/>
  <c r="F179" i="31"/>
  <c r="F178" i="31"/>
  <c r="F587" i="31" l="1"/>
  <c r="F599" i="31"/>
  <c r="F554" i="31"/>
  <c r="F607" i="31"/>
  <c r="F612" i="31" s="1"/>
  <c r="J180" i="36" s="1"/>
  <c r="F197" i="31"/>
  <c r="F201" i="31" s="1"/>
  <c r="J238" i="36" s="1"/>
  <c r="F520" i="31"/>
  <c r="F524" i="31" s="1"/>
  <c r="J219" i="36" s="1"/>
  <c r="F558" i="31"/>
  <c r="J236" i="36" s="1"/>
  <c r="F571" i="31"/>
  <c r="F583" i="31"/>
  <c r="F595" i="31"/>
  <c r="F600" i="31" s="1"/>
  <c r="J179" i="36" s="1"/>
  <c r="F180" i="31"/>
  <c r="F184" i="31" s="1"/>
  <c r="J237" i="36" s="1"/>
  <c r="F575" i="31"/>
  <c r="F619" i="31"/>
  <c r="F624" i="31"/>
  <c r="F588" i="31"/>
  <c r="F532" i="31"/>
  <c r="F535" i="31" s="1"/>
  <c r="F536" i="31" s="1"/>
  <c r="J239" i="36" s="1"/>
  <c r="F576" i="31" l="1"/>
  <c r="J177" i="36" s="1"/>
  <c r="J181" i="36"/>
  <c r="J178" i="36"/>
  <c r="F249" i="36" l="1"/>
  <c r="H249" i="36"/>
  <c r="I249" i="36" s="1"/>
  <c r="F226" i="31"/>
  <c r="F227" i="31" s="1"/>
  <c r="F223" i="31"/>
  <c r="F224" i="31" s="1"/>
  <c r="H229" i="36"/>
  <c r="F229" i="36"/>
  <c r="F180" i="36"/>
  <c r="F179" i="36"/>
  <c r="F178" i="36"/>
  <c r="F177" i="36"/>
  <c r="I229" i="36" l="1"/>
  <c r="F228" i="31"/>
  <c r="J249" i="36" s="1"/>
  <c r="F37" i="45"/>
  <c r="F36" i="45"/>
  <c r="F35" i="45"/>
  <c r="F34" i="45"/>
  <c r="F31" i="45"/>
  <c r="F30" i="45"/>
  <c r="F29" i="45"/>
  <c r="F28" i="45"/>
  <c r="F504" i="31"/>
  <c r="F505" i="31"/>
  <c r="C173" i="31"/>
  <c r="C167" i="31"/>
  <c r="C161" i="31"/>
  <c r="F153" i="31"/>
  <c r="F152" i="31"/>
  <c r="F151" i="31"/>
  <c r="F150" i="31"/>
  <c r="F147" i="31"/>
  <c r="F146" i="31"/>
  <c r="J140" i="31"/>
  <c r="J139" i="31"/>
  <c r="F32" i="45" l="1"/>
  <c r="F38" i="45"/>
  <c r="F154" i="31"/>
  <c r="F148" i="31"/>
  <c r="H405" i="36"/>
  <c r="F405" i="36"/>
  <c r="C148" i="24"/>
  <c r="F140" i="24"/>
  <c r="F139" i="24"/>
  <c r="F141" i="24" s="1"/>
  <c r="F137" i="24"/>
  <c r="C113" i="24"/>
  <c r="F105" i="24"/>
  <c r="F106" i="24" s="1"/>
  <c r="F103" i="24"/>
  <c r="C411" i="24"/>
  <c r="C379" i="24"/>
  <c r="C361" i="24"/>
  <c r="F39" i="45" l="1"/>
  <c r="J363" i="36" s="1"/>
  <c r="I405" i="36"/>
  <c r="F155" i="31"/>
  <c r="J229" i="36" s="1"/>
  <c r="F142" i="24"/>
  <c r="J130" i="36" s="1"/>
  <c r="F107" i="24"/>
  <c r="J132" i="36" s="1"/>
  <c r="B81" i="48" l="1"/>
  <c r="B79" i="48"/>
  <c r="B66" i="48"/>
  <c r="B61" i="48"/>
  <c r="B59" i="48"/>
  <c r="B58" i="48"/>
  <c r="B57" i="48"/>
  <c r="B56" i="48"/>
  <c r="B54" i="48"/>
  <c r="B55" i="48" s="1"/>
  <c r="B53" i="48"/>
  <c r="B51" i="48"/>
  <c r="B50" i="48"/>
  <c r="B49" i="48"/>
  <c r="B48" i="48"/>
  <c r="B47" i="48"/>
  <c r="B46" i="48"/>
  <c r="B45" i="48"/>
  <c r="B43" i="48"/>
  <c r="B38" i="48"/>
  <c r="B30" i="48"/>
  <c r="B27" i="48"/>
  <c r="B26" i="48"/>
  <c r="B25" i="48"/>
  <c r="B24" i="48"/>
  <c r="B22" i="48"/>
  <c r="B23" i="48" s="1"/>
  <c r="B21" i="48"/>
  <c r="B19" i="48"/>
  <c r="B18" i="48"/>
  <c r="B17" i="48"/>
  <c r="B16" i="48"/>
  <c r="B14" i="48"/>
  <c r="B13" i="48"/>
  <c r="B11" i="48"/>
  <c r="B9" i="48"/>
  <c r="B5" i="48"/>
  <c r="B10" i="48" s="1"/>
  <c r="B4" i="48"/>
  <c r="B8" i="48" l="1"/>
  <c r="B7" i="48"/>
  <c r="B15" i="48"/>
  <c r="B30" i="43"/>
  <c r="B24" i="43"/>
  <c r="B18" i="43"/>
  <c r="B16" i="43"/>
  <c r="B13" i="43"/>
  <c r="B9" i="43"/>
  <c r="B7" i="43"/>
  <c r="B5" i="43"/>
  <c r="B6" i="43" s="1"/>
  <c r="B4" i="43"/>
  <c r="B8" i="43" l="1"/>
  <c r="D1449" i="50"/>
  <c r="D1448" i="50"/>
  <c r="D1450" i="50" s="1"/>
  <c r="D1442" i="50"/>
  <c r="D1439" i="50"/>
  <c r="D1438" i="50"/>
  <c r="D1437" i="50"/>
  <c r="E1422" i="50"/>
  <c r="B1421" i="50"/>
  <c r="E1421" i="50" s="1"/>
  <c r="B1414" i="50"/>
  <c r="E1414" i="50" s="1"/>
  <c r="B1413" i="50"/>
  <c r="E1413" i="50" s="1"/>
  <c r="B1406" i="50"/>
  <c r="E1406" i="50" s="1"/>
  <c r="B1405" i="50"/>
  <c r="E1405" i="50" s="1"/>
  <c r="B1398" i="50"/>
  <c r="E1398" i="50" s="1"/>
  <c r="B1397" i="50"/>
  <c r="E1397" i="50" s="1"/>
  <c r="E1399" i="50" s="1"/>
  <c r="B1390" i="50"/>
  <c r="E1390" i="50" s="1"/>
  <c r="B1389" i="50"/>
  <c r="E1389" i="50" s="1"/>
  <c r="B1382" i="50"/>
  <c r="E1382" i="50" s="1"/>
  <c r="E1383" i="50" s="1"/>
  <c r="B1376" i="50"/>
  <c r="C1375" i="50"/>
  <c r="D1375" i="50" s="1"/>
  <c r="C1374" i="50"/>
  <c r="D1374" i="50" s="1"/>
  <c r="C1367" i="50"/>
  <c r="D1367" i="50" s="1"/>
  <c r="D1368" i="50" s="1"/>
  <c r="D1360" i="50"/>
  <c r="D1361" i="50" s="1"/>
  <c r="D1354" i="50"/>
  <c r="D1346" i="50"/>
  <c r="E1346" i="50" s="1"/>
  <c r="E1347" i="50" s="1"/>
  <c r="B1346" i="50"/>
  <c r="B1339" i="50"/>
  <c r="E1339" i="50" s="1"/>
  <c r="D1338" i="50"/>
  <c r="B1338" i="50"/>
  <c r="E1338" i="50" s="1"/>
  <c r="B1331" i="50"/>
  <c r="E1331" i="50" s="1"/>
  <c r="D1330" i="50"/>
  <c r="B1330" i="50"/>
  <c r="B1323" i="50"/>
  <c r="E1323" i="50" s="1"/>
  <c r="D1322" i="50"/>
  <c r="B1322" i="50"/>
  <c r="B1315" i="50"/>
  <c r="E1315" i="50" s="1"/>
  <c r="D1314" i="50"/>
  <c r="E1314" i="50" s="1"/>
  <c r="E1316" i="50" s="1"/>
  <c r="B1314" i="50"/>
  <c r="B1307" i="50"/>
  <c r="E1307" i="50" s="1"/>
  <c r="D1306" i="50"/>
  <c r="B1306" i="50"/>
  <c r="E1306" i="50" s="1"/>
  <c r="E1308" i="50" s="1"/>
  <c r="E1300" i="50"/>
  <c r="D1299" i="50"/>
  <c r="E1299" i="50" s="1"/>
  <c r="B1299" i="50"/>
  <c r="B1292" i="50"/>
  <c r="B1285" i="50"/>
  <c r="D1277" i="50"/>
  <c r="D1278" i="50" s="1"/>
  <c r="C1270" i="50"/>
  <c r="D1270" i="50" s="1"/>
  <c r="D1271" i="50" s="1"/>
  <c r="D1263" i="50"/>
  <c r="D1264" i="50" s="1"/>
  <c r="C1263" i="50"/>
  <c r="D1256" i="50"/>
  <c r="D1257" i="50" s="1"/>
  <c r="C1249" i="50"/>
  <c r="D1249" i="50" s="1"/>
  <c r="D1250" i="50" s="1"/>
  <c r="D1243" i="50"/>
  <c r="E1243" i="50" s="1"/>
  <c r="D1242" i="50"/>
  <c r="B1223" i="50"/>
  <c r="B1215" i="50"/>
  <c r="C1211" i="50"/>
  <c r="B1205" i="50"/>
  <c r="B1192" i="50"/>
  <c r="B1178" i="50"/>
  <c r="B1165" i="50"/>
  <c r="B1157" i="50"/>
  <c r="B1149" i="50"/>
  <c r="B1140" i="50"/>
  <c r="B1133" i="50"/>
  <c r="B1125" i="50"/>
  <c r="B1117" i="50"/>
  <c r="B1109" i="50"/>
  <c r="B1099" i="50"/>
  <c r="B1091" i="50"/>
  <c r="D1080" i="50"/>
  <c r="D1079" i="50"/>
  <c r="D1078" i="50"/>
  <c r="D1077" i="50"/>
  <c r="D1070" i="50"/>
  <c r="D1071" i="50" s="1"/>
  <c r="D1063" i="50"/>
  <c r="D1064" i="50" s="1"/>
  <c r="C1063" i="50"/>
  <c r="B1047" i="50"/>
  <c r="D1047" i="50" s="1"/>
  <c r="G1047" i="50" s="1"/>
  <c r="D1046" i="50"/>
  <c r="G1046" i="50" s="1"/>
  <c r="D1045" i="50"/>
  <c r="G1045" i="50" s="1"/>
  <c r="F1044" i="50"/>
  <c r="D1044" i="50"/>
  <c r="D1043" i="50"/>
  <c r="G1043" i="50" s="1"/>
  <c r="F1042" i="50"/>
  <c r="B1042" i="50"/>
  <c r="D1042" i="50" s="1"/>
  <c r="G1042" i="50" s="1"/>
  <c r="F1041" i="50"/>
  <c r="B1041" i="50"/>
  <c r="D1041" i="50" s="1"/>
  <c r="G1041" i="50" s="1"/>
  <c r="G1038" i="50"/>
  <c r="D1038" i="50"/>
  <c r="B1037" i="50"/>
  <c r="D1037" i="50" s="1"/>
  <c r="G1037" i="50" s="1"/>
  <c r="B1036" i="50"/>
  <c r="D1036" i="50" s="1"/>
  <c r="G1036" i="50" s="1"/>
  <c r="G1035" i="50"/>
  <c r="D1035" i="50"/>
  <c r="D1034" i="50"/>
  <c r="G1034" i="50" s="1"/>
  <c r="F1033" i="50"/>
  <c r="G1033" i="50" s="1"/>
  <c r="D1033" i="50"/>
  <c r="D1032" i="50"/>
  <c r="G1032" i="50" s="1"/>
  <c r="D1031" i="50"/>
  <c r="G1031" i="50" s="1"/>
  <c r="D1028" i="50"/>
  <c r="G1028" i="50" s="1"/>
  <c r="B1028" i="50"/>
  <c r="B1027" i="50"/>
  <c r="D1027" i="50" s="1"/>
  <c r="G1027" i="50" s="1"/>
  <c r="B1026" i="50"/>
  <c r="D1026" i="50" s="1"/>
  <c r="G1026" i="50" s="1"/>
  <c r="B1025" i="50"/>
  <c r="D1025" i="50" s="1"/>
  <c r="G1025" i="50" s="1"/>
  <c r="D1024" i="50"/>
  <c r="G1024" i="50" s="1"/>
  <c r="B1024" i="50"/>
  <c r="B1023" i="50"/>
  <c r="D1023" i="50" s="1"/>
  <c r="G1023" i="50" s="1"/>
  <c r="B1007" i="50"/>
  <c r="D1007" i="50" s="1"/>
  <c r="G1007" i="50" s="1"/>
  <c r="G1006" i="50"/>
  <c r="D1006" i="50"/>
  <c r="D1005" i="50"/>
  <c r="G1005" i="50" s="1"/>
  <c r="F1004" i="50"/>
  <c r="G1004" i="50" s="1"/>
  <c r="D1004" i="50"/>
  <c r="D1003" i="50"/>
  <c r="G1003" i="50" s="1"/>
  <c r="F1002" i="50"/>
  <c r="B1002" i="50"/>
  <c r="D1002" i="50" s="1"/>
  <c r="G1002" i="50" s="1"/>
  <c r="F1001" i="50"/>
  <c r="B1001" i="50"/>
  <c r="D1001" i="50" s="1"/>
  <c r="G1001" i="50" s="1"/>
  <c r="D998" i="50"/>
  <c r="G998" i="50" s="1"/>
  <c r="B997" i="50"/>
  <c r="D997" i="50" s="1"/>
  <c r="G997" i="50" s="1"/>
  <c r="B996" i="50"/>
  <c r="D996" i="50" s="1"/>
  <c r="G996" i="50" s="1"/>
  <c r="G995" i="50"/>
  <c r="D995" i="50"/>
  <c r="D994" i="50"/>
  <c r="G994" i="50" s="1"/>
  <c r="F993" i="50"/>
  <c r="G993" i="50" s="1"/>
  <c r="D993" i="50"/>
  <c r="D992" i="50"/>
  <c r="G992" i="50" s="1"/>
  <c r="D991" i="50"/>
  <c r="G991" i="50" s="1"/>
  <c r="B988" i="50"/>
  <c r="D988" i="50" s="1"/>
  <c r="G988" i="50" s="1"/>
  <c r="D987" i="50"/>
  <c r="G987" i="50" s="1"/>
  <c r="B987" i="50"/>
  <c r="B986" i="50"/>
  <c r="D986" i="50" s="1"/>
  <c r="G986" i="50" s="1"/>
  <c r="B985" i="50"/>
  <c r="D985" i="50" s="1"/>
  <c r="G985" i="50" s="1"/>
  <c r="G984" i="50"/>
  <c r="B984" i="50"/>
  <c r="D984" i="50" s="1"/>
  <c r="B983" i="50"/>
  <c r="D983" i="50" s="1"/>
  <c r="G983" i="50" s="1"/>
  <c r="D976" i="50"/>
  <c r="D957" i="50"/>
  <c r="D937" i="50"/>
  <c r="D938" i="50" s="1"/>
  <c r="C937" i="50"/>
  <c r="F908" i="50"/>
  <c r="D908" i="50"/>
  <c r="G908" i="50" s="1"/>
  <c r="D907" i="50"/>
  <c r="G907" i="50" s="1"/>
  <c r="D906" i="50"/>
  <c r="G906" i="50" s="1"/>
  <c r="D905" i="50"/>
  <c r="G905" i="50" s="1"/>
  <c r="G904" i="50"/>
  <c r="F904" i="50"/>
  <c r="D904" i="50"/>
  <c r="B903" i="50"/>
  <c r="D903" i="50" s="1"/>
  <c r="G903" i="50" s="1"/>
  <c r="F902" i="50"/>
  <c r="B902" i="50"/>
  <c r="D902" i="50" s="1"/>
  <c r="G902" i="50" s="1"/>
  <c r="B901" i="50"/>
  <c r="D901" i="50" s="1"/>
  <c r="G901" i="50" s="1"/>
  <c r="F900" i="50"/>
  <c r="B900" i="50"/>
  <c r="D900" i="50" s="1"/>
  <c r="G900" i="50" s="1"/>
  <c r="D897" i="50"/>
  <c r="G897" i="50" s="1"/>
  <c r="F896" i="50"/>
  <c r="B896" i="50"/>
  <c r="D896" i="50" s="1"/>
  <c r="G896" i="50" s="1"/>
  <c r="D895" i="50"/>
  <c r="G895" i="50" s="1"/>
  <c r="F894" i="50"/>
  <c r="B894" i="50"/>
  <c r="D894" i="50" s="1"/>
  <c r="G894" i="50" s="1"/>
  <c r="F893" i="50"/>
  <c r="G893" i="50" s="1"/>
  <c r="D893" i="50"/>
  <c r="B892" i="50"/>
  <c r="D892" i="50" s="1"/>
  <c r="G892" i="50" s="1"/>
  <c r="F891" i="50"/>
  <c r="D891" i="50"/>
  <c r="G891" i="50" s="1"/>
  <c r="D890" i="50"/>
  <c r="G890" i="50" s="1"/>
  <c r="F889" i="50"/>
  <c r="D889" i="50"/>
  <c r="G889" i="50" s="1"/>
  <c r="D888" i="50"/>
  <c r="G888" i="50" s="1"/>
  <c r="B888" i="50"/>
  <c r="F887" i="50"/>
  <c r="B887" i="50"/>
  <c r="D887" i="50" s="1"/>
  <c r="G887" i="50" s="1"/>
  <c r="F886" i="50"/>
  <c r="D886" i="50"/>
  <c r="G886" i="50" s="1"/>
  <c r="D883" i="50"/>
  <c r="G883" i="50" s="1"/>
  <c r="B883" i="50"/>
  <c r="B882" i="50"/>
  <c r="D882" i="50" s="1"/>
  <c r="G882" i="50" s="1"/>
  <c r="B881" i="50"/>
  <c r="D881" i="50" s="1"/>
  <c r="G881" i="50" s="1"/>
  <c r="B880" i="50"/>
  <c r="D880" i="50" s="1"/>
  <c r="G880" i="50" s="1"/>
  <c r="B879" i="50"/>
  <c r="D879" i="50" s="1"/>
  <c r="G879" i="50" s="1"/>
  <c r="D878" i="50"/>
  <c r="G878" i="50" s="1"/>
  <c r="B878" i="50"/>
  <c r="F877" i="50"/>
  <c r="D877" i="50"/>
  <c r="G877" i="50" s="1"/>
  <c r="G876" i="50"/>
  <c r="D876" i="50"/>
  <c r="F860" i="50"/>
  <c r="D860" i="50"/>
  <c r="G860" i="50" s="1"/>
  <c r="D859" i="50"/>
  <c r="G859" i="50" s="1"/>
  <c r="D858" i="50"/>
  <c r="G858" i="50" s="1"/>
  <c r="D857" i="50"/>
  <c r="G857" i="50" s="1"/>
  <c r="F856" i="50"/>
  <c r="D856" i="50"/>
  <c r="G856" i="50" s="1"/>
  <c r="B855" i="50"/>
  <c r="D855" i="50" s="1"/>
  <c r="G855" i="50" s="1"/>
  <c r="F854" i="50"/>
  <c r="D854" i="50"/>
  <c r="G854" i="50" s="1"/>
  <c r="B854" i="50"/>
  <c r="B853" i="50"/>
  <c r="D853" i="50" s="1"/>
  <c r="G853" i="50" s="1"/>
  <c r="F852" i="50"/>
  <c r="B852" i="50"/>
  <c r="D852" i="50" s="1"/>
  <c r="D849" i="50"/>
  <c r="G849" i="50" s="1"/>
  <c r="F848" i="50"/>
  <c r="B848" i="50"/>
  <c r="D848" i="50" s="1"/>
  <c r="G848" i="50" s="1"/>
  <c r="D847" i="50"/>
  <c r="G847" i="50" s="1"/>
  <c r="F846" i="50"/>
  <c r="D846" i="50"/>
  <c r="G846" i="50" s="1"/>
  <c r="B846" i="50"/>
  <c r="F845" i="50"/>
  <c r="D845" i="50"/>
  <c r="G845" i="50" s="1"/>
  <c r="B844" i="50"/>
  <c r="D844" i="50" s="1"/>
  <c r="G844" i="50" s="1"/>
  <c r="F843" i="50"/>
  <c r="G843" i="50" s="1"/>
  <c r="D843" i="50"/>
  <c r="D842" i="50"/>
  <c r="G842" i="50" s="1"/>
  <c r="F841" i="50"/>
  <c r="G841" i="50" s="1"/>
  <c r="D841" i="50"/>
  <c r="B840" i="50"/>
  <c r="D840" i="50" s="1"/>
  <c r="G840" i="50" s="1"/>
  <c r="F839" i="50"/>
  <c r="B839" i="50"/>
  <c r="D839" i="50" s="1"/>
  <c r="G839" i="50" s="1"/>
  <c r="F838" i="50"/>
  <c r="D838" i="50"/>
  <c r="B835" i="50"/>
  <c r="D835" i="50" s="1"/>
  <c r="G835" i="50" s="1"/>
  <c r="D834" i="50"/>
  <c r="G834" i="50" s="1"/>
  <c r="B834" i="50"/>
  <c r="B833" i="50"/>
  <c r="D833" i="50" s="1"/>
  <c r="G833" i="50" s="1"/>
  <c r="B832" i="50"/>
  <c r="D832" i="50" s="1"/>
  <c r="G832" i="50" s="1"/>
  <c r="B831" i="50"/>
  <c r="D831" i="50" s="1"/>
  <c r="G831" i="50" s="1"/>
  <c r="B830" i="50"/>
  <c r="D830" i="50" s="1"/>
  <c r="G830" i="50" s="1"/>
  <c r="F829" i="50"/>
  <c r="D829" i="50"/>
  <c r="G829" i="50" s="1"/>
  <c r="D828" i="50"/>
  <c r="G828" i="50" s="1"/>
  <c r="F812" i="50"/>
  <c r="D812" i="50"/>
  <c r="G812" i="50" s="1"/>
  <c r="G811" i="50"/>
  <c r="D811" i="50"/>
  <c r="D810" i="50"/>
  <c r="G810" i="50" s="1"/>
  <c r="D809" i="50"/>
  <c r="G809" i="50" s="1"/>
  <c r="F808" i="50"/>
  <c r="D808" i="50"/>
  <c r="G808" i="50" s="1"/>
  <c r="D807" i="50"/>
  <c r="G807" i="50" s="1"/>
  <c r="B807" i="50"/>
  <c r="F806" i="50"/>
  <c r="D806" i="50"/>
  <c r="G806" i="50" s="1"/>
  <c r="B806" i="50"/>
  <c r="B805" i="50"/>
  <c r="D805" i="50" s="1"/>
  <c r="G805" i="50" s="1"/>
  <c r="F804" i="50"/>
  <c r="B804" i="50"/>
  <c r="D804" i="50" s="1"/>
  <c r="D801" i="50"/>
  <c r="G801" i="50" s="1"/>
  <c r="F800" i="50"/>
  <c r="B800" i="50"/>
  <c r="D800" i="50" s="1"/>
  <c r="G800" i="50" s="1"/>
  <c r="D799" i="50"/>
  <c r="G799" i="50" s="1"/>
  <c r="F798" i="50"/>
  <c r="B798" i="50"/>
  <c r="D798" i="50" s="1"/>
  <c r="F797" i="50"/>
  <c r="D797" i="50"/>
  <c r="B796" i="50"/>
  <c r="D796" i="50" s="1"/>
  <c r="G796" i="50" s="1"/>
  <c r="F795" i="50"/>
  <c r="G795" i="50" s="1"/>
  <c r="D795" i="50"/>
  <c r="D794" i="50"/>
  <c r="G794" i="50" s="1"/>
  <c r="F793" i="50"/>
  <c r="D793" i="50"/>
  <c r="B792" i="50"/>
  <c r="D792" i="50" s="1"/>
  <c r="G792" i="50" s="1"/>
  <c r="F791" i="50"/>
  <c r="B791" i="50"/>
  <c r="D791" i="50" s="1"/>
  <c r="G791" i="50" s="1"/>
  <c r="F790" i="50"/>
  <c r="D790" i="50"/>
  <c r="G790" i="50" s="1"/>
  <c r="D787" i="50"/>
  <c r="G787" i="50" s="1"/>
  <c r="B787" i="50"/>
  <c r="B786" i="50"/>
  <c r="D786" i="50" s="1"/>
  <c r="G786" i="50" s="1"/>
  <c r="D785" i="50"/>
  <c r="G785" i="50" s="1"/>
  <c r="B785" i="50"/>
  <c r="B784" i="50"/>
  <c r="D784" i="50" s="1"/>
  <c r="G784" i="50" s="1"/>
  <c r="B783" i="50"/>
  <c r="D783" i="50" s="1"/>
  <c r="G783" i="50" s="1"/>
  <c r="B782" i="50"/>
  <c r="D782" i="50" s="1"/>
  <c r="G782" i="50" s="1"/>
  <c r="G781" i="50"/>
  <c r="F781" i="50"/>
  <c r="D781" i="50"/>
  <c r="D780" i="50"/>
  <c r="G780" i="50" s="1"/>
  <c r="D771" i="50"/>
  <c r="E771" i="50" s="1"/>
  <c r="E772" i="50" s="1"/>
  <c r="D768" i="50"/>
  <c r="E768" i="50" s="1"/>
  <c r="E769" i="50" s="1"/>
  <c r="F761" i="50"/>
  <c r="F762" i="50" s="1"/>
  <c r="E761" i="50"/>
  <c r="D761" i="50"/>
  <c r="F754" i="50"/>
  <c r="F755" i="50" s="1"/>
  <c r="E754" i="50"/>
  <c r="D754" i="50"/>
  <c r="F746" i="50"/>
  <c r="G746" i="50" s="1"/>
  <c r="D746" i="50"/>
  <c r="F745" i="50"/>
  <c r="D745" i="50"/>
  <c r="G745" i="50" s="1"/>
  <c r="E735" i="50"/>
  <c r="D738" i="50" s="1"/>
  <c r="D728" i="50"/>
  <c r="D727" i="50"/>
  <c r="D726" i="50"/>
  <c r="D729" i="50" s="1"/>
  <c r="D719" i="50"/>
  <c r="D718" i="50"/>
  <c r="D717" i="50"/>
  <c r="D720" i="50" s="1"/>
  <c r="D711" i="50"/>
  <c r="D710" i="50"/>
  <c r="D703" i="50"/>
  <c r="D702" i="50"/>
  <c r="D701" i="50"/>
  <c r="D700" i="50"/>
  <c r="D692" i="50"/>
  <c r="D691" i="50"/>
  <c r="D690" i="50"/>
  <c r="D689" i="50"/>
  <c r="D682" i="50"/>
  <c r="D664" i="50"/>
  <c r="D637" i="50"/>
  <c r="G637" i="50" s="1"/>
  <c r="F636" i="50"/>
  <c r="B636" i="50"/>
  <c r="D636" i="50" s="1"/>
  <c r="G636" i="50" s="1"/>
  <c r="G635" i="50"/>
  <c r="F635" i="50"/>
  <c r="B635" i="50"/>
  <c r="D635" i="50" s="1"/>
  <c r="D632" i="50"/>
  <c r="G632" i="50" s="1"/>
  <c r="D631" i="50"/>
  <c r="G631" i="50" s="1"/>
  <c r="D628" i="50"/>
  <c r="G628" i="50" s="1"/>
  <c r="D627" i="50"/>
  <c r="G627" i="50" s="1"/>
  <c r="G641" i="50" s="1"/>
  <c r="B611" i="50"/>
  <c r="D611" i="50" s="1"/>
  <c r="G611" i="50" s="1"/>
  <c r="D610" i="50"/>
  <c r="G610" i="50" s="1"/>
  <c r="G609" i="50"/>
  <c r="D609" i="50"/>
  <c r="F608" i="50"/>
  <c r="D608" i="50"/>
  <c r="G608" i="50" s="1"/>
  <c r="D607" i="50"/>
  <c r="G607" i="50" s="1"/>
  <c r="F606" i="50"/>
  <c r="B606" i="50"/>
  <c r="D606" i="50" s="1"/>
  <c r="G606" i="50" s="1"/>
  <c r="G605" i="50"/>
  <c r="F605" i="50"/>
  <c r="B605" i="50"/>
  <c r="D605" i="50" s="1"/>
  <c r="D602" i="50"/>
  <c r="G602" i="50" s="1"/>
  <c r="B601" i="50"/>
  <c r="D601" i="50" s="1"/>
  <c r="G601" i="50" s="1"/>
  <c r="B600" i="50"/>
  <c r="D600" i="50" s="1"/>
  <c r="G600" i="50" s="1"/>
  <c r="D599" i="50"/>
  <c r="G599" i="50" s="1"/>
  <c r="D598" i="50"/>
  <c r="G598" i="50" s="1"/>
  <c r="G597" i="50"/>
  <c r="F597" i="50"/>
  <c r="D597" i="50"/>
  <c r="D596" i="50"/>
  <c r="G596" i="50" s="1"/>
  <c r="D595" i="50"/>
  <c r="G595" i="50" s="1"/>
  <c r="B592" i="50"/>
  <c r="D592" i="50" s="1"/>
  <c r="G592" i="50" s="1"/>
  <c r="B591" i="50"/>
  <c r="D591" i="50" s="1"/>
  <c r="G591" i="50" s="1"/>
  <c r="B590" i="50"/>
  <c r="D590" i="50" s="1"/>
  <c r="G590" i="50" s="1"/>
  <c r="B589" i="50"/>
  <c r="D589" i="50" s="1"/>
  <c r="G589" i="50" s="1"/>
  <c r="D588" i="50"/>
  <c r="G588" i="50" s="1"/>
  <c r="B588" i="50"/>
  <c r="B587" i="50"/>
  <c r="D587" i="50" s="1"/>
  <c r="G587" i="50" s="1"/>
  <c r="D571" i="50"/>
  <c r="G571" i="50" s="1"/>
  <c r="G570" i="50"/>
  <c r="F570" i="50"/>
  <c r="B570" i="50"/>
  <c r="D570" i="50" s="1"/>
  <c r="F569" i="50"/>
  <c r="B569" i="50"/>
  <c r="D569" i="50" s="1"/>
  <c r="D566" i="50"/>
  <c r="G566" i="50" s="1"/>
  <c r="D565" i="50"/>
  <c r="G565" i="50" s="1"/>
  <c r="D562" i="50"/>
  <c r="G562" i="50" s="1"/>
  <c r="D561" i="50"/>
  <c r="G561" i="50" s="1"/>
  <c r="G575" i="50" s="1"/>
  <c r="B545" i="50"/>
  <c r="D545" i="50" s="1"/>
  <c r="G545" i="50" s="1"/>
  <c r="D544" i="50"/>
  <c r="G544" i="50" s="1"/>
  <c r="G543" i="50"/>
  <c r="D543" i="50"/>
  <c r="F542" i="50"/>
  <c r="D542" i="50"/>
  <c r="D541" i="50"/>
  <c r="G541" i="50" s="1"/>
  <c r="F540" i="50"/>
  <c r="G540" i="50" s="1"/>
  <c r="B540" i="50"/>
  <c r="D540" i="50" s="1"/>
  <c r="D539" i="50"/>
  <c r="G539" i="50" s="1"/>
  <c r="F538" i="50"/>
  <c r="B538" i="50"/>
  <c r="D538" i="50" s="1"/>
  <c r="F537" i="50"/>
  <c r="B537" i="50"/>
  <c r="D537" i="50" s="1"/>
  <c r="G537" i="50" s="1"/>
  <c r="D534" i="50"/>
  <c r="G534" i="50" s="1"/>
  <c r="B533" i="50"/>
  <c r="D533" i="50" s="1"/>
  <c r="G533" i="50" s="1"/>
  <c r="D532" i="50"/>
  <c r="G532" i="50" s="1"/>
  <c r="B531" i="50"/>
  <c r="D531" i="50" s="1"/>
  <c r="G531" i="50" s="1"/>
  <c r="D530" i="50"/>
  <c r="G530" i="50" s="1"/>
  <c r="D529" i="50"/>
  <c r="G529" i="50" s="1"/>
  <c r="G528" i="50"/>
  <c r="F528" i="50"/>
  <c r="D528" i="50"/>
  <c r="D527" i="50"/>
  <c r="G527" i="50" s="1"/>
  <c r="G526" i="50"/>
  <c r="D526" i="50"/>
  <c r="D525" i="50"/>
  <c r="G525" i="50" s="1"/>
  <c r="B522" i="50"/>
  <c r="D522" i="50" s="1"/>
  <c r="G522" i="50" s="1"/>
  <c r="D521" i="50"/>
  <c r="G521" i="50" s="1"/>
  <c r="B521" i="50"/>
  <c r="B520" i="50"/>
  <c r="D520" i="50" s="1"/>
  <c r="G520" i="50" s="1"/>
  <c r="B519" i="50"/>
  <c r="D519" i="50" s="1"/>
  <c r="G519" i="50" s="1"/>
  <c r="B518" i="50"/>
  <c r="D518" i="50" s="1"/>
  <c r="G518" i="50" s="1"/>
  <c r="B517" i="50"/>
  <c r="D517" i="50" s="1"/>
  <c r="G517" i="50" s="1"/>
  <c r="D516" i="50"/>
  <c r="G516" i="50" s="1"/>
  <c r="G515" i="50"/>
  <c r="D515" i="50"/>
  <c r="D501" i="50"/>
  <c r="G501" i="50" s="1"/>
  <c r="F500" i="50"/>
  <c r="G500" i="50" s="1"/>
  <c r="D500" i="50"/>
  <c r="D499" i="50"/>
  <c r="G499" i="50" s="1"/>
  <c r="D498" i="50"/>
  <c r="G498" i="50" s="1"/>
  <c r="F495" i="50"/>
  <c r="D495" i="50"/>
  <c r="B495" i="50"/>
  <c r="F494" i="50"/>
  <c r="D494" i="50"/>
  <c r="B494" i="50"/>
  <c r="F493" i="50"/>
  <c r="D493" i="50"/>
  <c r="G493" i="50" s="1"/>
  <c r="B492" i="50"/>
  <c r="D492" i="50" s="1"/>
  <c r="G492" i="50" s="1"/>
  <c r="F491" i="50"/>
  <c r="B491" i="50"/>
  <c r="D491" i="50" s="1"/>
  <c r="G491" i="50" s="1"/>
  <c r="G490" i="50"/>
  <c r="B490" i="50"/>
  <c r="D490" i="50" s="1"/>
  <c r="F489" i="50"/>
  <c r="B489" i="50"/>
  <c r="D489" i="50" s="1"/>
  <c r="G489" i="50" s="1"/>
  <c r="D488" i="50"/>
  <c r="G488" i="50" s="1"/>
  <c r="B488" i="50"/>
  <c r="F487" i="50"/>
  <c r="B487" i="50"/>
  <c r="D487" i="50" s="1"/>
  <c r="D473" i="50"/>
  <c r="G473" i="50" s="1"/>
  <c r="F472" i="50"/>
  <c r="D472" i="50"/>
  <c r="D471" i="50"/>
  <c r="G471" i="50" s="1"/>
  <c r="G470" i="50"/>
  <c r="D470" i="50"/>
  <c r="F467" i="50"/>
  <c r="D467" i="50"/>
  <c r="B467" i="50"/>
  <c r="F466" i="50"/>
  <c r="D466" i="50"/>
  <c r="G466" i="50" s="1"/>
  <c r="B466" i="50"/>
  <c r="F465" i="50"/>
  <c r="D465" i="50"/>
  <c r="B464" i="50"/>
  <c r="D464" i="50" s="1"/>
  <c r="G464" i="50" s="1"/>
  <c r="F463" i="50"/>
  <c r="B463" i="50"/>
  <c r="D463" i="50" s="1"/>
  <c r="B462" i="50"/>
  <c r="D462" i="50" s="1"/>
  <c r="G462" i="50" s="1"/>
  <c r="F461" i="50"/>
  <c r="B461" i="50"/>
  <c r="D461" i="50" s="1"/>
  <c r="B460" i="50"/>
  <c r="D460" i="50" s="1"/>
  <c r="G460" i="50" s="1"/>
  <c r="F459" i="50"/>
  <c r="D459" i="50"/>
  <c r="B459" i="50"/>
  <c r="F443" i="50"/>
  <c r="D443" i="50"/>
  <c r="G443" i="50" s="1"/>
  <c r="D442" i="50"/>
  <c r="G442" i="50" s="1"/>
  <c r="D441" i="50"/>
  <c r="G441" i="50" s="1"/>
  <c r="D440" i="50"/>
  <c r="G440" i="50" s="1"/>
  <c r="F439" i="50"/>
  <c r="G439" i="50" s="1"/>
  <c r="D439" i="50"/>
  <c r="B438" i="50"/>
  <c r="D438" i="50" s="1"/>
  <c r="G438" i="50" s="1"/>
  <c r="F437" i="50"/>
  <c r="B437" i="50"/>
  <c r="D437" i="50" s="1"/>
  <c r="B436" i="50"/>
  <c r="D436" i="50" s="1"/>
  <c r="G436" i="50" s="1"/>
  <c r="F435" i="50"/>
  <c r="G435" i="50" s="1"/>
  <c r="B435" i="50"/>
  <c r="D435" i="50" s="1"/>
  <c r="D432" i="50"/>
  <c r="G432" i="50" s="1"/>
  <c r="F431" i="50"/>
  <c r="D431" i="50"/>
  <c r="B431" i="50"/>
  <c r="D430" i="50"/>
  <c r="G430" i="50" s="1"/>
  <c r="F429" i="50"/>
  <c r="B429" i="50"/>
  <c r="D429" i="50" s="1"/>
  <c r="F428" i="50"/>
  <c r="D428" i="50"/>
  <c r="G428" i="50" s="1"/>
  <c r="D427" i="50"/>
  <c r="G427" i="50" s="1"/>
  <c r="B427" i="50"/>
  <c r="F426" i="50"/>
  <c r="D426" i="50"/>
  <c r="G426" i="50" s="1"/>
  <c r="D425" i="50"/>
  <c r="G425" i="50" s="1"/>
  <c r="F424" i="50"/>
  <c r="D424" i="50"/>
  <c r="D423" i="50"/>
  <c r="G423" i="50" s="1"/>
  <c r="B423" i="50"/>
  <c r="F422" i="50"/>
  <c r="B422" i="50"/>
  <c r="D422" i="50" s="1"/>
  <c r="G422" i="50" s="1"/>
  <c r="F421" i="50"/>
  <c r="D421" i="50"/>
  <c r="B418" i="50"/>
  <c r="D418" i="50" s="1"/>
  <c r="G418" i="50" s="1"/>
  <c r="B417" i="50"/>
  <c r="D417" i="50" s="1"/>
  <c r="G417" i="50" s="1"/>
  <c r="F416" i="50"/>
  <c r="B416" i="50"/>
  <c r="D416" i="50" s="1"/>
  <c r="F415" i="50"/>
  <c r="D415" i="50"/>
  <c r="B415" i="50"/>
  <c r="B414" i="50"/>
  <c r="D414" i="50" s="1"/>
  <c r="G414" i="50" s="1"/>
  <c r="B413" i="50"/>
  <c r="D413" i="50" s="1"/>
  <c r="G413" i="50" s="1"/>
  <c r="F412" i="50"/>
  <c r="D412" i="50"/>
  <c r="G412" i="50" s="1"/>
  <c r="G411" i="50"/>
  <c r="D411" i="50"/>
  <c r="F395" i="50"/>
  <c r="D395" i="50"/>
  <c r="G395" i="50" s="1"/>
  <c r="G394" i="50"/>
  <c r="D394" i="50"/>
  <c r="D393" i="50"/>
  <c r="G393" i="50" s="1"/>
  <c r="D392" i="50"/>
  <c r="G392" i="50" s="1"/>
  <c r="F391" i="50"/>
  <c r="D391" i="50"/>
  <c r="B390" i="50"/>
  <c r="D390" i="50" s="1"/>
  <c r="G390" i="50" s="1"/>
  <c r="F389" i="50"/>
  <c r="B389" i="50"/>
  <c r="D389" i="50" s="1"/>
  <c r="B388" i="50"/>
  <c r="D388" i="50" s="1"/>
  <c r="G388" i="50" s="1"/>
  <c r="F387" i="50"/>
  <c r="B387" i="50"/>
  <c r="D387" i="50" s="1"/>
  <c r="D384" i="50"/>
  <c r="G384" i="50" s="1"/>
  <c r="F383" i="50"/>
  <c r="B383" i="50"/>
  <c r="D383" i="50" s="1"/>
  <c r="G383" i="50" s="1"/>
  <c r="D382" i="50"/>
  <c r="G382" i="50" s="1"/>
  <c r="F381" i="50"/>
  <c r="B381" i="50"/>
  <c r="D381" i="50" s="1"/>
  <c r="G381" i="50" s="1"/>
  <c r="F380" i="50"/>
  <c r="G380" i="50" s="1"/>
  <c r="D380" i="50"/>
  <c r="B379" i="50"/>
  <c r="D379" i="50" s="1"/>
  <c r="G379" i="50" s="1"/>
  <c r="F378" i="50"/>
  <c r="D378" i="50"/>
  <c r="G378" i="50" s="1"/>
  <c r="G377" i="50"/>
  <c r="D377" i="50"/>
  <c r="F376" i="50"/>
  <c r="D376" i="50"/>
  <c r="B375" i="50"/>
  <c r="D375" i="50" s="1"/>
  <c r="G375" i="50" s="1"/>
  <c r="F374" i="50"/>
  <c r="B374" i="50"/>
  <c r="D374" i="50" s="1"/>
  <c r="G374" i="50" s="1"/>
  <c r="F373" i="50"/>
  <c r="D373" i="50"/>
  <c r="G373" i="50" s="1"/>
  <c r="D370" i="50"/>
  <c r="G370" i="50" s="1"/>
  <c r="B370" i="50"/>
  <c r="B369" i="50"/>
  <c r="D369" i="50" s="1"/>
  <c r="G369" i="50" s="1"/>
  <c r="F368" i="50"/>
  <c r="B368" i="50"/>
  <c r="D368" i="50" s="1"/>
  <c r="F367" i="50"/>
  <c r="B367" i="50"/>
  <c r="D367" i="50" s="1"/>
  <c r="G367" i="50" s="1"/>
  <c r="B366" i="50"/>
  <c r="D366" i="50" s="1"/>
  <c r="G366" i="50" s="1"/>
  <c r="B365" i="50"/>
  <c r="D365" i="50" s="1"/>
  <c r="G365" i="50" s="1"/>
  <c r="F364" i="50"/>
  <c r="D364" i="50"/>
  <c r="D363" i="50"/>
  <c r="G363" i="50" s="1"/>
  <c r="E342" i="50"/>
  <c r="E341" i="50"/>
  <c r="E340" i="50"/>
  <c r="E343" i="50" s="1"/>
  <c r="D334" i="50"/>
  <c r="B334" i="50"/>
  <c r="E327" i="50"/>
  <c r="E326" i="50"/>
  <c r="E325" i="50"/>
  <c r="E324" i="50"/>
  <c r="D317" i="50"/>
  <c r="F317" i="50" s="1"/>
  <c r="G318" i="50" s="1"/>
  <c r="D310" i="50"/>
  <c r="F310" i="50" s="1"/>
  <c r="G311" i="50" s="1"/>
  <c r="D303" i="50"/>
  <c r="F303" i="50" s="1"/>
  <c r="G304" i="50" s="1"/>
  <c r="D296" i="50"/>
  <c r="F296" i="50" s="1"/>
  <c r="G297" i="50" s="1"/>
  <c r="D289" i="50"/>
  <c r="F289" i="50" s="1"/>
  <c r="G290" i="50" s="1"/>
  <c r="D282" i="50"/>
  <c r="F282" i="50" s="1"/>
  <c r="G283" i="50" s="1"/>
  <c r="D275" i="50"/>
  <c r="F275" i="50" s="1"/>
  <c r="G276" i="50" s="1"/>
  <c r="D268" i="50"/>
  <c r="F268" i="50" s="1"/>
  <c r="G269" i="50" s="1"/>
  <c r="D261" i="50"/>
  <c r="F261" i="50" s="1"/>
  <c r="G262" i="50" s="1"/>
  <c r="D254" i="50"/>
  <c r="F254" i="50" s="1"/>
  <c r="G255" i="50" s="1"/>
  <c r="D247" i="50"/>
  <c r="F247" i="50" s="1"/>
  <c r="G248" i="50" s="1"/>
  <c r="D240" i="50"/>
  <c r="F240" i="50" s="1"/>
  <c r="G241" i="50" s="1"/>
  <c r="D233" i="50"/>
  <c r="F233" i="50" s="1"/>
  <c r="G234" i="50" s="1"/>
  <c r="D226" i="50"/>
  <c r="F226" i="50" s="1"/>
  <c r="G227" i="50" s="1"/>
  <c r="D219" i="50"/>
  <c r="F219" i="50" s="1"/>
  <c r="G220" i="50" s="1"/>
  <c r="D196" i="50"/>
  <c r="C188" i="50"/>
  <c r="D174" i="50"/>
  <c r="D173" i="50"/>
  <c r="D172" i="50"/>
  <c r="D171" i="50"/>
  <c r="D164" i="50"/>
  <c r="D163" i="50"/>
  <c r="D162" i="50"/>
  <c r="D161" i="50"/>
  <c r="D160" i="50"/>
  <c r="D165" i="50" s="1"/>
  <c r="D159" i="50"/>
  <c r="D158" i="50"/>
  <c r="D151" i="50"/>
  <c r="D150" i="50"/>
  <c r="D149" i="50"/>
  <c r="D148" i="50"/>
  <c r="D138" i="50"/>
  <c r="D142" i="50" s="1"/>
  <c r="F122" i="50"/>
  <c r="G122" i="50" s="1"/>
  <c r="D122" i="50"/>
  <c r="F121" i="50"/>
  <c r="D121" i="50"/>
  <c r="G121" i="50" s="1"/>
  <c r="F120" i="50"/>
  <c r="D120" i="50"/>
  <c r="F119" i="50"/>
  <c r="G119" i="50" s="1"/>
  <c r="D119" i="50"/>
  <c r="B117" i="50"/>
  <c r="D117" i="50" s="1"/>
  <c r="G117" i="50" s="1"/>
  <c r="D116" i="50"/>
  <c r="G116" i="50" s="1"/>
  <c r="B116" i="50"/>
  <c r="B115" i="50"/>
  <c r="D115" i="50" s="1"/>
  <c r="G115" i="50" s="1"/>
  <c r="G114" i="50"/>
  <c r="D114" i="50"/>
  <c r="B113" i="50"/>
  <c r="D113" i="50" s="1"/>
  <c r="G113" i="50" s="1"/>
  <c r="D111" i="50"/>
  <c r="G111" i="50" s="1"/>
  <c r="D110" i="50"/>
  <c r="G110" i="50" s="1"/>
  <c r="B110" i="50"/>
  <c r="B109" i="50"/>
  <c r="D109" i="50" s="1"/>
  <c r="G109" i="50" s="1"/>
  <c r="F107" i="50"/>
  <c r="D107" i="50"/>
  <c r="F106" i="50"/>
  <c r="D106" i="50"/>
  <c r="G106" i="50" s="1"/>
  <c r="F105" i="50"/>
  <c r="D105" i="50"/>
  <c r="F104" i="50"/>
  <c r="D104" i="50"/>
  <c r="G104" i="50" s="1"/>
  <c r="F103" i="50"/>
  <c r="D103" i="50"/>
  <c r="F102" i="50"/>
  <c r="D102" i="50"/>
  <c r="G102" i="50" s="1"/>
  <c r="G101" i="50"/>
  <c r="F101" i="50"/>
  <c r="D101" i="50"/>
  <c r="F100" i="50"/>
  <c r="D100" i="50"/>
  <c r="F99" i="50"/>
  <c r="B99" i="50"/>
  <c r="D99" i="50" s="1"/>
  <c r="G99" i="50" s="1"/>
  <c r="F98" i="50"/>
  <c r="D98" i="50"/>
  <c r="G98" i="50" s="1"/>
  <c r="D70" i="50"/>
  <c r="D71" i="50" s="1"/>
  <c r="D35" i="50"/>
  <c r="D34" i="50"/>
  <c r="D33" i="50"/>
  <c r="D32" i="50"/>
  <c r="D26" i="50"/>
  <c r="C18" i="50"/>
  <c r="C19" i="50" s="1"/>
  <c r="G100" i="50" l="1"/>
  <c r="G747" i="50"/>
  <c r="G1011" i="50"/>
  <c r="G507" i="50"/>
  <c r="G619" i="50"/>
  <c r="G816" i="50"/>
  <c r="G852" i="50"/>
  <c r="E1407" i="50"/>
  <c r="G105" i="50"/>
  <c r="D175" i="50"/>
  <c r="G569" i="50"/>
  <c r="G579" i="50" s="1"/>
  <c r="G120" i="50"/>
  <c r="D152" i="50"/>
  <c r="E328" i="50"/>
  <c r="G364" i="50"/>
  <c r="G399" i="50" s="1"/>
  <c r="G391" i="50"/>
  <c r="G403" i="50" s="1"/>
  <c r="G424" i="50"/>
  <c r="G465" i="50"/>
  <c r="G472" i="50"/>
  <c r="G479" i="50" s="1"/>
  <c r="E1322" i="50"/>
  <c r="E1324" i="50" s="1"/>
  <c r="E1330" i="50"/>
  <c r="G387" i="50"/>
  <c r="D36" i="50"/>
  <c r="G103" i="50"/>
  <c r="G368" i="50"/>
  <c r="G389" i="50"/>
  <c r="G415" i="50"/>
  <c r="G421" i="50"/>
  <c r="G429" i="50"/>
  <c r="G431" i="50"/>
  <c r="G437" i="50"/>
  <c r="G451" i="50" s="1"/>
  <c r="G461" i="50"/>
  <c r="G463" i="50"/>
  <c r="G494" i="50"/>
  <c r="G538" i="50"/>
  <c r="G643" i="50"/>
  <c r="D694" i="50"/>
  <c r="G793" i="50"/>
  <c r="G797" i="50"/>
  <c r="G838" i="50"/>
  <c r="G1044" i="50"/>
  <c r="E1415" i="50"/>
  <c r="G449" i="50"/>
  <c r="G127" i="50"/>
  <c r="G129" i="50"/>
  <c r="G131" i="50"/>
  <c r="G577" i="50"/>
  <c r="G615" i="50"/>
  <c r="G866" i="50"/>
  <c r="G914" i="50"/>
  <c r="G916" i="50"/>
  <c r="G551" i="50"/>
  <c r="G1055" i="50"/>
  <c r="G617" i="50"/>
  <c r="G645" i="50"/>
  <c r="G868" i="50"/>
  <c r="G107" i="50"/>
  <c r="G125" i="50" s="1"/>
  <c r="G132" i="50" s="1"/>
  <c r="G376" i="50"/>
  <c r="G401" i="50" s="1"/>
  <c r="G416" i="50"/>
  <c r="G459" i="50"/>
  <c r="G467" i="50"/>
  <c r="G487" i="50"/>
  <c r="G505" i="50" s="1"/>
  <c r="G495" i="50"/>
  <c r="G549" i="50"/>
  <c r="G542" i="50"/>
  <c r="G553" i="50" s="1"/>
  <c r="G1013" i="50"/>
  <c r="E1332" i="50"/>
  <c r="G864" i="50"/>
  <c r="G1015" i="50"/>
  <c r="G1053" i="50"/>
  <c r="D1081" i="50"/>
  <c r="D1376" i="50"/>
  <c r="D704" i="50"/>
  <c r="G798" i="50"/>
  <c r="G804" i="50"/>
  <c r="G820" i="50" s="1"/>
  <c r="G912" i="50"/>
  <c r="G1051" i="50"/>
  <c r="E1340" i="50"/>
  <c r="E1391" i="50"/>
  <c r="G869" i="50" l="1"/>
  <c r="G447" i="50"/>
  <c r="G452" i="50" s="1"/>
  <c r="G646" i="50"/>
  <c r="G580" i="50"/>
  <c r="G818" i="50"/>
  <c r="G821" i="50" s="1"/>
  <c r="G1016" i="50"/>
  <c r="G508" i="50"/>
  <c r="G1056" i="50"/>
  <c r="G404" i="50"/>
  <c r="G917" i="50"/>
  <c r="G554" i="50"/>
  <c r="G477" i="50"/>
  <c r="G480" i="50" s="1"/>
  <c r="G620" i="50"/>
  <c r="B204" i="49" l="1"/>
  <c r="C203" i="49"/>
  <c r="D203" i="49" s="1"/>
  <c r="C202" i="49"/>
  <c r="D202" i="49" s="1"/>
  <c r="D195" i="49"/>
  <c r="D196" i="49" s="1"/>
  <c r="C195" i="49"/>
  <c r="D188" i="49"/>
  <c r="D189" i="49" s="1"/>
  <c r="D182" i="49"/>
  <c r="D181" i="49"/>
  <c r="E175" i="49"/>
  <c r="B174" i="49"/>
  <c r="B167" i="49"/>
  <c r="E167" i="49" s="1"/>
  <c r="D166" i="49"/>
  <c r="B166" i="49"/>
  <c r="E166" i="49" s="1"/>
  <c r="B159" i="49"/>
  <c r="E159" i="49" s="1"/>
  <c r="D158" i="49"/>
  <c r="E158" i="49" s="1"/>
  <c r="E160" i="49" s="1"/>
  <c r="B158" i="49"/>
  <c r="B151" i="49"/>
  <c r="E151" i="49" s="1"/>
  <c r="D150" i="49"/>
  <c r="B150" i="49"/>
  <c r="E150" i="49" s="1"/>
  <c r="E152" i="49" s="1"/>
  <c r="B143" i="49"/>
  <c r="E143" i="49" s="1"/>
  <c r="D142" i="49"/>
  <c r="B142" i="49"/>
  <c r="B135" i="49"/>
  <c r="E135" i="49" s="1"/>
  <c r="D134" i="49"/>
  <c r="B134" i="49"/>
  <c r="E134" i="49" s="1"/>
  <c r="D127" i="49"/>
  <c r="B127" i="49"/>
  <c r="E127" i="49" s="1"/>
  <c r="E128" i="49" s="1"/>
  <c r="B120" i="49"/>
  <c r="B113" i="49"/>
  <c r="D105" i="49"/>
  <c r="D106" i="49" s="1"/>
  <c r="C98" i="49"/>
  <c r="D98" i="49" s="1"/>
  <c r="D99" i="49" s="1"/>
  <c r="C91" i="49"/>
  <c r="D91" i="49" s="1"/>
  <c r="D92" i="49" s="1"/>
  <c r="D85" i="49"/>
  <c r="D84" i="49"/>
  <c r="D78" i="49"/>
  <c r="D69" i="49"/>
  <c r="F69" i="49" s="1"/>
  <c r="G70" i="49" s="1"/>
  <c r="F62" i="49"/>
  <c r="G63" i="49" s="1"/>
  <c r="D62" i="49"/>
  <c r="B51" i="49"/>
  <c r="D36" i="49"/>
  <c r="D35" i="49"/>
  <c r="D34" i="49"/>
  <c r="D33" i="49"/>
  <c r="B26" i="49"/>
  <c r="D26" i="49" s="1"/>
  <c r="D27" i="49" s="1"/>
  <c r="C19" i="49"/>
  <c r="C20" i="49" s="1"/>
  <c r="D37" i="49" l="1"/>
  <c r="E142" i="49"/>
  <c r="E144" i="49" s="1"/>
  <c r="E168" i="49"/>
  <c r="D204" i="49"/>
  <c r="E136" i="49"/>
  <c r="C422" i="31" l="1"/>
  <c r="F414" i="31"/>
  <c r="F415" i="31" s="1"/>
  <c r="F411" i="31"/>
  <c r="F410" i="31"/>
  <c r="H199" i="36"/>
  <c r="H200" i="36"/>
  <c r="F199" i="36"/>
  <c r="F200" i="36"/>
  <c r="I200" i="36" l="1"/>
  <c r="I199" i="36"/>
  <c r="F412" i="31"/>
  <c r="F416" i="31" s="1"/>
  <c r="J200" i="36" s="1"/>
  <c r="B84" i="48"/>
  <c r="F490" i="24" l="1"/>
  <c r="F486" i="24"/>
  <c r="F489" i="24"/>
  <c r="F485" i="24"/>
  <c r="H156" i="36"/>
  <c r="F156" i="36"/>
  <c r="H154" i="36"/>
  <c r="H155" i="36"/>
  <c r="H157" i="36"/>
  <c r="F154" i="36"/>
  <c r="F155" i="36"/>
  <c r="F157" i="36"/>
  <c r="F153" i="36"/>
  <c r="H153" i="36"/>
  <c r="H148" i="36"/>
  <c r="H149" i="36"/>
  <c r="H150" i="36"/>
  <c r="H151" i="36"/>
  <c r="F148" i="36"/>
  <c r="F149" i="36"/>
  <c r="F150" i="36"/>
  <c r="F151" i="36"/>
  <c r="H147" i="36"/>
  <c r="F147" i="36"/>
  <c r="H141" i="36"/>
  <c r="H142" i="36"/>
  <c r="H143" i="36"/>
  <c r="F141" i="36"/>
  <c r="F142" i="36"/>
  <c r="F143" i="36"/>
  <c r="F487" i="24" l="1"/>
  <c r="I143" i="36"/>
  <c r="I141" i="36"/>
  <c r="I142" i="36"/>
  <c r="I153" i="36"/>
  <c r="F491" i="24"/>
  <c r="I156" i="36"/>
  <c r="I147" i="36"/>
  <c r="I148" i="36"/>
  <c r="I155" i="36"/>
  <c r="I157" i="36"/>
  <c r="I154" i="36"/>
  <c r="I151" i="36"/>
  <c r="I150" i="36"/>
  <c r="I149" i="36"/>
  <c r="H368" i="36" l="1"/>
  <c r="H349" i="36"/>
  <c r="F368" i="36"/>
  <c r="I368" i="36" l="1"/>
  <c r="F349" i="36"/>
  <c r="I349" i="36" s="1"/>
  <c r="F346" i="36"/>
  <c r="H346" i="36"/>
  <c r="H343" i="36"/>
  <c r="H344" i="36"/>
  <c r="H345" i="36"/>
  <c r="F343" i="36"/>
  <c r="F344" i="36"/>
  <c r="F345" i="36"/>
  <c r="H427" i="36"/>
  <c r="H428" i="36"/>
  <c r="F427" i="36"/>
  <c r="F428" i="36"/>
  <c r="H370" i="36"/>
  <c r="F370" i="36"/>
  <c r="F477" i="24"/>
  <c r="F475" i="24"/>
  <c r="F476" i="24"/>
  <c r="F478" i="24"/>
  <c r="F474" i="24"/>
  <c r="F471" i="24"/>
  <c r="F470" i="24"/>
  <c r="F450" i="24"/>
  <c r="F433" i="24"/>
  <c r="F434" i="24"/>
  <c r="F435" i="24"/>
  <c r="F436" i="24"/>
  <c r="H371" i="36"/>
  <c r="F371" i="36"/>
  <c r="F372" i="36"/>
  <c r="H372" i="36"/>
  <c r="F427" i="24"/>
  <c r="I344" i="36" l="1"/>
  <c r="I372" i="36"/>
  <c r="I370" i="36"/>
  <c r="I428" i="36"/>
  <c r="I427" i="36"/>
  <c r="I343" i="36"/>
  <c r="I345" i="36"/>
  <c r="I346" i="36"/>
  <c r="F479" i="24"/>
  <c r="F472" i="24"/>
  <c r="I371" i="36"/>
  <c r="H363" i="36"/>
  <c r="H364" i="36"/>
  <c r="F362" i="36"/>
  <c r="H63" i="36"/>
  <c r="F63" i="36"/>
  <c r="I63" i="36" l="1"/>
  <c r="F480" i="24"/>
  <c r="J370" i="36" s="1"/>
  <c r="H331" i="36"/>
  <c r="H330" i="36"/>
  <c r="F224" i="29" l="1"/>
  <c r="F209" i="29"/>
  <c r="F210" i="29"/>
  <c r="F211" i="29"/>
  <c r="F208" i="29"/>
  <c r="F205" i="29"/>
  <c r="F204" i="29"/>
  <c r="F197" i="29"/>
  <c r="F196" i="29"/>
  <c r="F193" i="29"/>
  <c r="F192" i="29"/>
  <c r="F335" i="36"/>
  <c r="F336" i="36"/>
  <c r="F337" i="36"/>
  <c r="H334" i="36"/>
  <c r="H335" i="36"/>
  <c r="H336" i="36"/>
  <c r="H337" i="36"/>
  <c r="F334" i="36"/>
  <c r="F331" i="36"/>
  <c r="I331" i="36" s="1"/>
  <c r="F330" i="36"/>
  <c r="I330" i="36" s="1"/>
  <c r="H322" i="36"/>
  <c r="F322" i="36"/>
  <c r="F185" i="29"/>
  <c r="F184" i="29"/>
  <c r="F183" i="29"/>
  <c r="F182" i="29"/>
  <c r="F181" i="29"/>
  <c r="F180" i="29"/>
  <c r="F177" i="29"/>
  <c r="F176" i="29"/>
  <c r="I335" i="36" l="1"/>
  <c r="I336" i="36"/>
  <c r="I334" i="36"/>
  <c r="I322" i="36"/>
  <c r="I337" i="36"/>
  <c r="F212" i="29"/>
  <c r="F206" i="29"/>
  <c r="F194" i="29"/>
  <c r="F198" i="29"/>
  <c r="F178" i="29"/>
  <c r="F186" i="29"/>
  <c r="F199" i="29" l="1"/>
  <c r="J320" i="36" s="1"/>
  <c r="F213" i="29"/>
  <c r="J321" i="36" s="1"/>
  <c r="F187" i="29"/>
  <c r="J313" i="36" s="1"/>
  <c r="F21" i="45"/>
  <c r="F22" i="45" s="1"/>
  <c r="F18" i="45"/>
  <c r="F19" i="45" s="1"/>
  <c r="F23" i="45" l="1"/>
  <c r="J355" i="36" s="1"/>
  <c r="B12" i="45" l="1"/>
  <c r="B11" i="45"/>
  <c r="B10" i="45"/>
  <c r="B9" i="45"/>
  <c r="F8" i="45"/>
  <c r="B8" i="45"/>
  <c r="F364" i="36"/>
  <c r="I364" i="36" s="1"/>
  <c r="F363" i="36"/>
  <c r="I363" i="36" s="1"/>
  <c r="F358" i="36"/>
  <c r="F34" i="44"/>
  <c r="F33" i="44"/>
  <c r="B28" i="44"/>
  <c r="B32" i="44" s="1"/>
  <c r="B26" i="44"/>
  <c r="F38" i="44" s="1"/>
  <c r="F21" i="44"/>
  <c r="B20" i="44"/>
  <c r="F15" i="44"/>
  <c r="B9" i="44"/>
  <c r="B8" i="44"/>
  <c r="B6" i="44"/>
  <c r="B10" i="44" l="1"/>
  <c r="B17" i="44" s="1"/>
  <c r="F27" i="44"/>
  <c r="F30" i="44"/>
  <c r="F37" i="44" s="1"/>
  <c r="F14" i="44"/>
  <c r="B7" i="44"/>
  <c r="F26" i="44"/>
  <c r="F28" i="44"/>
  <c r="F22" i="44"/>
  <c r="B27" i="44"/>
  <c r="F29" i="44"/>
  <c r="F32" i="44"/>
  <c r="F13" i="44" l="1"/>
  <c r="B14" i="44"/>
  <c r="F36" i="44"/>
  <c r="F31" i="44"/>
  <c r="F12" i="44"/>
  <c r="B16" i="44"/>
  <c r="F11" i="44"/>
  <c r="B13" i="44"/>
  <c r="F17" i="44" l="1"/>
  <c r="F9" i="44"/>
  <c r="F7" i="44"/>
  <c r="F10" i="44"/>
  <c r="F6" i="44"/>
  <c r="F20" i="44"/>
  <c r="F8" i="44"/>
  <c r="F19" i="44" l="1"/>
  <c r="F266" i="36"/>
  <c r="H266" i="36"/>
  <c r="F142" i="29"/>
  <c r="F143" i="29"/>
  <c r="I266" i="36" l="1"/>
  <c r="F133" i="29"/>
  <c r="F132" i="29"/>
  <c r="F131" i="29"/>
  <c r="F130" i="29"/>
  <c r="F127" i="29"/>
  <c r="F126" i="29"/>
  <c r="F8" i="29"/>
  <c r="B12" i="29"/>
  <c r="B11" i="29"/>
  <c r="B10" i="29"/>
  <c r="B9" i="29"/>
  <c r="B8" i="29"/>
  <c r="F134" i="29" l="1"/>
  <c r="F128" i="29"/>
  <c r="F248" i="36"/>
  <c r="H218" i="36"/>
  <c r="H219" i="36"/>
  <c r="H306" i="36"/>
  <c r="F158" i="24"/>
  <c r="F154" i="24"/>
  <c r="F153" i="24"/>
  <c r="H132" i="36"/>
  <c r="F132" i="36"/>
  <c r="H114" i="36"/>
  <c r="F114" i="36"/>
  <c r="H89" i="36"/>
  <c r="H90" i="36"/>
  <c r="H91" i="36"/>
  <c r="H92" i="36"/>
  <c r="F89" i="36"/>
  <c r="F90" i="36"/>
  <c r="F91" i="36"/>
  <c r="F92" i="36"/>
  <c r="H88" i="36"/>
  <c r="F88" i="36"/>
  <c r="F101" i="35"/>
  <c r="F155" i="24" l="1"/>
  <c r="F135" i="29"/>
  <c r="J285" i="36" s="1"/>
  <c r="I88" i="36"/>
  <c r="I89" i="36"/>
  <c r="I132" i="36"/>
  <c r="I92" i="36"/>
  <c r="I91" i="36"/>
  <c r="I90" i="36"/>
  <c r="F339" i="24"/>
  <c r="F340" i="24"/>
  <c r="F326" i="24"/>
  <c r="F327" i="24"/>
  <c r="M17" i="4" l="1"/>
  <c r="M18" i="4"/>
  <c r="M19" i="4"/>
  <c r="M20" i="4"/>
  <c r="M21" i="4"/>
  <c r="M22" i="4"/>
  <c r="M23" i="4"/>
  <c r="M24" i="4"/>
  <c r="M25" i="4"/>
  <c r="M26" i="4"/>
  <c r="M27" i="4"/>
  <c r="M28" i="4"/>
  <c r="M29" i="4"/>
  <c r="M30" i="4"/>
  <c r="M31" i="4"/>
  <c r="M32" i="4"/>
  <c r="M33" i="4"/>
  <c r="M34" i="4"/>
  <c r="M35" i="4"/>
  <c r="M36" i="4"/>
  <c r="M37" i="4"/>
  <c r="M16" i="4"/>
  <c r="B37" i="2"/>
  <c r="A37" i="2"/>
  <c r="B36" i="2"/>
  <c r="A36" i="2"/>
  <c r="B35" i="2"/>
  <c r="A35" i="2"/>
  <c r="B30" i="2"/>
  <c r="B30" i="4" s="1"/>
  <c r="A30" i="2"/>
  <c r="A30" i="4" s="1"/>
  <c r="B28" i="2"/>
  <c r="B28" i="4" s="1"/>
  <c r="A28" i="2"/>
  <c r="A28" i="4" s="1"/>
  <c r="B27" i="2"/>
  <c r="A27" i="2"/>
  <c r="B25" i="2"/>
  <c r="B25" i="4" s="1"/>
  <c r="A25" i="2"/>
  <c r="A25" i="4" s="1"/>
  <c r="B21" i="2"/>
  <c r="B21" i="4" s="1"/>
  <c r="A21" i="2"/>
  <c r="A21" i="4" s="1"/>
  <c r="H408" i="36"/>
  <c r="F408" i="36"/>
  <c r="H403" i="36"/>
  <c r="F403" i="36"/>
  <c r="D403" i="36"/>
  <c r="H404" i="36"/>
  <c r="H124" i="36"/>
  <c r="H86" i="36"/>
  <c r="H85" i="36"/>
  <c r="H84" i="36"/>
  <c r="H75" i="36"/>
  <c r="H74" i="36"/>
  <c r="H73" i="36"/>
  <c r="H61" i="36"/>
  <c r="H60" i="36"/>
  <c r="H59" i="36"/>
  <c r="H58" i="36"/>
  <c r="I403" i="36" l="1"/>
  <c r="I408" i="36"/>
  <c r="F49" i="36"/>
  <c r="H50" i="36"/>
  <c r="H51" i="36"/>
  <c r="H52" i="36"/>
  <c r="H383" i="36"/>
  <c r="F383" i="36"/>
  <c r="I383" i="36" l="1"/>
  <c r="F437" i="24" l="1"/>
  <c r="F428" i="24"/>
  <c r="F429" i="24"/>
  <c r="F432" i="24"/>
  <c r="F420" i="24"/>
  <c r="F421" i="24" s="1"/>
  <c r="F417" i="24"/>
  <c r="F418" i="24" s="1"/>
  <c r="F403" i="24"/>
  <c r="F404" i="24" s="1"/>
  <c r="F400" i="24"/>
  <c r="F401" i="24" s="1"/>
  <c r="H412" i="36"/>
  <c r="H413" i="36"/>
  <c r="H414" i="36"/>
  <c r="H416" i="36"/>
  <c r="H417" i="36"/>
  <c r="F412" i="36"/>
  <c r="F413" i="36"/>
  <c r="F414" i="36"/>
  <c r="F416" i="36"/>
  <c r="F417" i="36"/>
  <c r="F411" i="36"/>
  <c r="H411" i="36"/>
  <c r="I411" i="36" s="1"/>
  <c r="H419" i="36"/>
  <c r="H420" i="36"/>
  <c r="H421" i="36"/>
  <c r="H422" i="36"/>
  <c r="H423" i="36"/>
  <c r="F419" i="36"/>
  <c r="F420" i="36"/>
  <c r="F421" i="36"/>
  <c r="F422" i="36"/>
  <c r="F423" i="36"/>
  <c r="C395" i="24"/>
  <c r="I413" i="36" l="1"/>
  <c r="I412" i="36"/>
  <c r="F430" i="24"/>
  <c r="I420" i="36"/>
  <c r="I423" i="36"/>
  <c r="I419" i="36"/>
  <c r="I417" i="36"/>
  <c r="I422" i="36"/>
  <c r="I416" i="36"/>
  <c r="I421" i="36"/>
  <c r="F438" i="24"/>
  <c r="I414" i="36"/>
  <c r="F405" i="24"/>
  <c r="J413" i="36" s="1"/>
  <c r="F422" i="24"/>
  <c r="J417" i="36" s="1"/>
  <c r="C494" i="31"/>
  <c r="C476" i="31"/>
  <c r="F467" i="31"/>
  <c r="C513" i="31"/>
  <c r="F503" i="31"/>
  <c r="F500" i="31"/>
  <c r="F499" i="31"/>
  <c r="F486" i="31"/>
  <c r="F485" i="31"/>
  <c r="F482" i="31"/>
  <c r="F481" i="31"/>
  <c r="F468" i="31"/>
  <c r="F464" i="31"/>
  <c r="F463" i="31"/>
  <c r="C458" i="31"/>
  <c r="C439" i="31"/>
  <c r="F431" i="31"/>
  <c r="F432" i="31" s="1"/>
  <c r="F428" i="31"/>
  <c r="F427" i="31"/>
  <c r="H213" i="36"/>
  <c r="F213" i="36"/>
  <c r="H207" i="36"/>
  <c r="H208" i="36"/>
  <c r="H209" i="36"/>
  <c r="H210" i="36"/>
  <c r="H211" i="36"/>
  <c r="H212" i="36"/>
  <c r="H214" i="36"/>
  <c r="F207" i="36"/>
  <c r="F208" i="36"/>
  <c r="F209" i="36"/>
  <c r="F210" i="36"/>
  <c r="F211" i="36"/>
  <c r="F212" i="36"/>
  <c r="F218" i="36"/>
  <c r="I218" i="36" s="1"/>
  <c r="F219" i="36"/>
  <c r="I219" i="36" s="1"/>
  <c r="H215" i="36"/>
  <c r="H216" i="36"/>
  <c r="H217" i="36"/>
  <c r="H220" i="36"/>
  <c r="F214" i="36"/>
  <c r="F215" i="36"/>
  <c r="F216" i="36"/>
  <c r="F217" i="36"/>
  <c r="F220" i="36"/>
  <c r="F403" i="31"/>
  <c r="F404" i="31" s="1"/>
  <c r="F400" i="31"/>
  <c r="F399" i="31"/>
  <c r="I216" i="36" l="1"/>
  <c r="I217" i="36"/>
  <c r="I208" i="36"/>
  <c r="I215" i="36"/>
  <c r="F439" i="24"/>
  <c r="I209" i="36"/>
  <c r="I207" i="36"/>
  <c r="I213" i="36"/>
  <c r="F506" i="31"/>
  <c r="F483" i="31"/>
  <c r="F501" i="31"/>
  <c r="F469" i="31"/>
  <c r="F487" i="31"/>
  <c r="F465" i="31"/>
  <c r="F401" i="31"/>
  <c r="F405" i="31" s="1"/>
  <c r="J206" i="36" s="1"/>
  <c r="F429" i="31"/>
  <c r="F433" i="31" s="1"/>
  <c r="J208" i="36" s="1"/>
  <c r="I212" i="36"/>
  <c r="I211" i="36"/>
  <c r="I210" i="36"/>
  <c r="I220" i="36"/>
  <c r="I214" i="36"/>
  <c r="F375" i="31"/>
  <c r="F376" i="31" s="1"/>
  <c r="F372" i="31"/>
  <c r="F371" i="31"/>
  <c r="C366" i="31"/>
  <c r="F358" i="31"/>
  <c r="F359" i="31" s="1"/>
  <c r="F355" i="31"/>
  <c r="F354" i="31"/>
  <c r="H185" i="36"/>
  <c r="H186" i="36"/>
  <c r="H187" i="36"/>
  <c r="H188" i="36"/>
  <c r="H189" i="36"/>
  <c r="H190" i="36"/>
  <c r="F185" i="36"/>
  <c r="F186" i="36"/>
  <c r="F187" i="36"/>
  <c r="F188" i="36"/>
  <c r="F189" i="36"/>
  <c r="F190" i="36"/>
  <c r="H179" i="36"/>
  <c r="H180" i="36"/>
  <c r="H181" i="36"/>
  <c r="H182" i="36"/>
  <c r="H183" i="36"/>
  <c r="H184" i="36"/>
  <c r="H191" i="36"/>
  <c r="H192" i="36"/>
  <c r="F181" i="36"/>
  <c r="F182" i="36"/>
  <c r="F183" i="36"/>
  <c r="F184" i="36"/>
  <c r="F191" i="36"/>
  <c r="F192" i="36"/>
  <c r="H178" i="36"/>
  <c r="H177" i="36"/>
  <c r="C320" i="31"/>
  <c r="F312" i="31"/>
  <c r="F313" i="31" s="1"/>
  <c r="F309" i="31"/>
  <c r="F308" i="31"/>
  <c r="C303" i="31"/>
  <c r="F295" i="31"/>
  <c r="F296" i="31" s="1"/>
  <c r="F292" i="31"/>
  <c r="F291" i="31"/>
  <c r="C286" i="31"/>
  <c r="F278" i="31"/>
  <c r="F279" i="31" s="1"/>
  <c r="F275" i="31"/>
  <c r="F274" i="31"/>
  <c r="I183" i="36" l="1"/>
  <c r="I186" i="36"/>
  <c r="J372" i="36"/>
  <c r="F507" i="31"/>
  <c r="J218" i="36" s="1"/>
  <c r="F488" i="31"/>
  <c r="J217" i="36" s="1"/>
  <c r="F470" i="31"/>
  <c r="J216" i="36" s="1"/>
  <c r="F373" i="31"/>
  <c r="F377" i="31" s="1"/>
  <c r="J204" i="36" s="1"/>
  <c r="I190" i="36"/>
  <c r="I189" i="36"/>
  <c r="I185" i="36"/>
  <c r="I192" i="36"/>
  <c r="I191" i="36"/>
  <c r="I178" i="36"/>
  <c r="F356" i="31"/>
  <c r="F360" i="31" s="1"/>
  <c r="J186" i="36" s="1"/>
  <c r="I181" i="36"/>
  <c r="I180" i="36"/>
  <c r="I179" i="36"/>
  <c r="I177" i="36"/>
  <c r="I182" i="36"/>
  <c r="I187" i="36"/>
  <c r="I188" i="36"/>
  <c r="I184" i="36"/>
  <c r="F276" i="31"/>
  <c r="F280" i="31" s="1"/>
  <c r="J253" i="36" s="1"/>
  <c r="F293" i="31"/>
  <c r="F297" i="31" s="1"/>
  <c r="J256" i="36" s="1"/>
  <c r="F310" i="31"/>
  <c r="F314" i="31" s="1"/>
  <c r="J260" i="36" s="1"/>
  <c r="H254" i="36"/>
  <c r="H255" i="36"/>
  <c r="H256" i="36"/>
  <c r="H257" i="36"/>
  <c r="H258" i="36"/>
  <c r="H259" i="36"/>
  <c r="H260" i="36"/>
  <c r="F254" i="36"/>
  <c r="F255" i="36"/>
  <c r="F256" i="36"/>
  <c r="F257" i="36"/>
  <c r="F258" i="36"/>
  <c r="F259" i="36"/>
  <c r="F260" i="36"/>
  <c r="H253" i="36"/>
  <c r="F253" i="36"/>
  <c r="F216" i="31"/>
  <c r="F217" i="31" s="1"/>
  <c r="F213" i="31"/>
  <c r="F212" i="31"/>
  <c r="H236" i="36"/>
  <c r="H237" i="36"/>
  <c r="H238" i="36"/>
  <c r="H239" i="36"/>
  <c r="H240" i="36"/>
  <c r="H241" i="36"/>
  <c r="H242" i="36"/>
  <c r="H243" i="36"/>
  <c r="H244" i="36"/>
  <c r="H245" i="36"/>
  <c r="H246" i="36"/>
  <c r="H247" i="36"/>
  <c r="H248" i="36"/>
  <c r="I248" i="36" s="1"/>
  <c r="H250" i="36"/>
  <c r="C73" i="31"/>
  <c r="F65" i="31"/>
  <c r="F66" i="31" s="1"/>
  <c r="F62" i="31"/>
  <c r="F63" i="31" s="1"/>
  <c r="I260" i="36" l="1"/>
  <c r="I256" i="36"/>
  <c r="I253" i="36"/>
  <c r="I257" i="36"/>
  <c r="I259" i="36"/>
  <c r="I258" i="36"/>
  <c r="I254" i="36"/>
  <c r="I255" i="36"/>
  <c r="F67" i="31"/>
  <c r="J225" i="36" s="1"/>
  <c r="F214" i="31"/>
  <c r="F218" i="31" s="1"/>
  <c r="C41" i="31"/>
  <c r="J207" i="36" l="1"/>
  <c r="J248" i="36"/>
  <c r="F267" i="31"/>
  <c r="F268" i="31" s="1"/>
  <c r="F264" i="31"/>
  <c r="F263" i="31"/>
  <c r="F256" i="31"/>
  <c r="F257" i="31" s="1"/>
  <c r="F253" i="31"/>
  <c r="F252" i="31"/>
  <c r="H231" i="36"/>
  <c r="H232" i="36"/>
  <c r="F231" i="36"/>
  <c r="F237" i="36"/>
  <c r="I237" i="36" s="1"/>
  <c r="F238" i="36"/>
  <c r="I238" i="36" s="1"/>
  <c r="F239" i="36"/>
  <c r="I239" i="36" s="1"/>
  <c r="F240" i="36"/>
  <c r="I240" i="36" s="1"/>
  <c r="F241" i="36"/>
  <c r="I241" i="36" s="1"/>
  <c r="F236" i="36"/>
  <c r="I236" i="36" s="1"/>
  <c r="H230" i="36"/>
  <c r="H233" i="36"/>
  <c r="H234" i="36"/>
  <c r="H235" i="36"/>
  <c r="F232" i="36"/>
  <c r="F233" i="36"/>
  <c r="F234" i="36"/>
  <c r="F235" i="36"/>
  <c r="F242" i="36"/>
  <c r="I242" i="36" s="1"/>
  <c r="F247" i="36"/>
  <c r="I247" i="36" s="1"/>
  <c r="F246" i="36"/>
  <c r="I246" i="36" s="1"/>
  <c r="H227" i="36"/>
  <c r="F227" i="36"/>
  <c r="H224" i="36"/>
  <c r="H225" i="36"/>
  <c r="H226" i="36"/>
  <c r="H228" i="36"/>
  <c r="H223" i="36"/>
  <c r="F8" i="31"/>
  <c r="B12" i="31"/>
  <c r="B11" i="31"/>
  <c r="B10" i="31"/>
  <c r="B9" i="31"/>
  <c r="B8" i="31"/>
  <c r="F352" i="24"/>
  <c r="F353" i="24"/>
  <c r="I227" i="36" l="1"/>
  <c r="I231" i="36"/>
  <c r="I235" i="36"/>
  <c r="I232" i="36"/>
  <c r="I234" i="36"/>
  <c r="I233" i="36"/>
  <c r="F265" i="31"/>
  <c r="F269" i="31" s="1"/>
  <c r="F254" i="31"/>
  <c r="F258" i="31" s="1"/>
  <c r="J233" i="36" s="1"/>
  <c r="H118" i="36"/>
  <c r="F118" i="36"/>
  <c r="F124" i="36"/>
  <c r="I124" i="36" s="1"/>
  <c r="I118" i="36" l="1"/>
  <c r="J234" i="36"/>
  <c r="J205" i="36"/>
  <c r="F387" i="24"/>
  <c r="F388" i="24" s="1"/>
  <c r="F384" i="24"/>
  <c r="F370" i="24"/>
  <c r="F371" i="24" s="1"/>
  <c r="F367" i="24"/>
  <c r="F351" i="24"/>
  <c r="F354" i="24" s="1"/>
  <c r="F348" i="24"/>
  <c r="F347" i="24"/>
  <c r="F349" i="24" l="1"/>
  <c r="F385" i="24"/>
  <c r="F389" i="24" s="1"/>
  <c r="J412" i="36" s="1"/>
  <c r="F368" i="24"/>
  <c r="F372" i="24" s="1"/>
  <c r="J411" i="36" s="1"/>
  <c r="H121" i="36"/>
  <c r="F121" i="36"/>
  <c r="H120" i="36"/>
  <c r="F120" i="36"/>
  <c r="H119" i="36"/>
  <c r="F119" i="36"/>
  <c r="I120" i="36" l="1"/>
  <c r="I119" i="36"/>
  <c r="I121" i="36"/>
  <c r="H122" i="36"/>
  <c r="F122" i="36"/>
  <c r="F338" i="24"/>
  <c r="F341" i="24" s="1"/>
  <c r="F335" i="24"/>
  <c r="F334" i="24"/>
  <c r="F325" i="24"/>
  <c r="F328" i="24" s="1"/>
  <c r="F322" i="24"/>
  <c r="F321" i="24"/>
  <c r="H126" i="36"/>
  <c r="F126" i="36"/>
  <c r="I122" i="36" l="1"/>
  <c r="F336" i="24"/>
  <c r="I126" i="36"/>
  <c r="F323" i="24"/>
  <c r="F329" i="24" s="1"/>
  <c r="J125" i="36" s="1"/>
  <c r="F306" i="36"/>
  <c r="I306" i="36" s="1"/>
  <c r="F314" i="24"/>
  <c r="F315" i="24" s="1"/>
  <c r="F311" i="24"/>
  <c r="F310" i="24"/>
  <c r="F303" i="24"/>
  <c r="F304" i="24" s="1"/>
  <c r="F300" i="24"/>
  <c r="F299" i="24"/>
  <c r="F290" i="24"/>
  <c r="F291" i="24"/>
  <c r="F292" i="24"/>
  <c r="F289" i="24"/>
  <c r="F286" i="24"/>
  <c r="F285" i="24"/>
  <c r="F312" i="24" l="1"/>
  <c r="F316" i="24" s="1"/>
  <c r="J308" i="36" s="1"/>
  <c r="F301" i="24"/>
  <c r="F305" i="24" s="1"/>
  <c r="J307" i="36" s="1"/>
  <c r="F287" i="24"/>
  <c r="F293" i="24"/>
  <c r="F253" i="24"/>
  <c r="F252" i="24"/>
  <c r="F251" i="24"/>
  <c r="F248" i="24"/>
  <c r="F247" i="24"/>
  <c r="H295" i="36"/>
  <c r="H296" i="36"/>
  <c r="H297" i="36"/>
  <c r="H298" i="36"/>
  <c r="H299" i="36"/>
  <c r="H300" i="36"/>
  <c r="H301" i="36"/>
  <c r="H302" i="36"/>
  <c r="H303" i="36"/>
  <c r="H304" i="36"/>
  <c r="H305" i="36"/>
  <c r="H307" i="36"/>
  <c r="H308" i="36"/>
  <c r="H294" i="36"/>
  <c r="F295" i="36"/>
  <c r="F296" i="36"/>
  <c r="F297" i="36"/>
  <c r="F298" i="36"/>
  <c r="F299" i="36"/>
  <c r="F300" i="36"/>
  <c r="F301" i="36"/>
  <c r="F302" i="36"/>
  <c r="F303" i="36"/>
  <c r="F304" i="36"/>
  <c r="F305" i="36"/>
  <c r="F307" i="36"/>
  <c r="F308" i="36"/>
  <c r="F294" i="36"/>
  <c r="H99" i="36"/>
  <c r="F99" i="36"/>
  <c r="H103" i="36"/>
  <c r="F103" i="36"/>
  <c r="I302" i="36" l="1"/>
  <c r="I297" i="36"/>
  <c r="I298" i="36"/>
  <c r="I296" i="36"/>
  <c r="I295" i="36"/>
  <c r="I294" i="36"/>
  <c r="I301" i="36"/>
  <c r="I300" i="36"/>
  <c r="I299" i="36"/>
  <c r="I304" i="36"/>
  <c r="I308" i="36"/>
  <c r="I303" i="36"/>
  <c r="I307" i="36"/>
  <c r="I305" i="36"/>
  <c r="I103" i="36"/>
  <c r="I99" i="36"/>
  <c r="F249" i="24"/>
  <c r="F294" i="24"/>
  <c r="J306" i="36" s="1"/>
  <c r="F254" i="24"/>
  <c r="C232" i="24"/>
  <c r="F224" i="24"/>
  <c r="F222" i="24"/>
  <c r="I309" i="36" l="1"/>
  <c r="D30" i="2" s="1"/>
  <c r="C30" i="4" s="1"/>
  <c r="K30" i="4" s="1"/>
  <c r="F255" i="24"/>
  <c r="J114" i="36" s="1"/>
  <c r="F225" i="24"/>
  <c r="F226" i="24" s="1"/>
  <c r="J143" i="36" s="1"/>
  <c r="F192" i="24"/>
  <c r="C216" i="24"/>
  <c r="G208" i="24" s="1"/>
  <c r="F208" i="24"/>
  <c r="F209" i="24" s="1"/>
  <c r="F206" i="24"/>
  <c r="H108" i="24"/>
  <c r="H107" i="24"/>
  <c r="H113" i="24"/>
  <c r="H110" i="24"/>
  <c r="H91" i="24"/>
  <c r="H84" i="24"/>
  <c r="H83" i="24"/>
  <c r="H87" i="24"/>
  <c r="F88" i="24"/>
  <c r="G30" i="4" l="1"/>
  <c r="E30" i="4"/>
  <c r="I30" i="4"/>
  <c r="F210" i="24"/>
  <c r="G192" i="24" s="1"/>
  <c r="C200" i="24"/>
  <c r="G191" i="24" s="1"/>
  <c r="F191" i="24"/>
  <c r="F193" i="24" s="1"/>
  <c r="F189" i="24"/>
  <c r="C183" i="24"/>
  <c r="F175" i="24"/>
  <c r="F176" i="24" s="1"/>
  <c r="F173" i="24"/>
  <c r="I140" i="36"/>
  <c r="H140" i="36"/>
  <c r="F140" i="36"/>
  <c r="F194" i="24" l="1"/>
  <c r="J142" i="36" s="1"/>
  <c r="F177" i="24"/>
  <c r="J141" i="36" s="1"/>
  <c r="H135" i="36"/>
  <c r="H136" i="36"/>
  <c r="H137" i="36"/>
  <c r="H138" i="36"/>
  <c r="H139" i="36"/>
  <c r="F81" i="35" l="1"/>
  <c r="F82" i="35"/>
  <c r="F83" i="35"/>
  <c r="H164" i="36" l="1"/>
  <c r="F164" i="36"/>
  <c r="H162" i="36"/>
  <c r="H163" i="36"/>
  <c r="F162" i="36"/>
  <c r="F163" i="36"/>
  <c r="I162" i="36" l="1"/>
  <c r="I164" i="36"/>
  <c r="I163" i="36"/>
  <c r="C133" i="35"/>
  <c r="C135" i="35" s="1"/>
  <c r="E128" i="35" s="1"/>
  <c r="F128" i="35" s="1"/>
  <c r="F129" i="35" s="1"/>
  <c r="C132" i="35"/>
  <c r="B132" i="35"/>
  <c r="F125" i="35"/>
  <c r="F124" i="35"/>
  <c r="F117" i="35"/>
  <c r="F118" i="35" s="1"/>
  <c r="F114" i="35"/>
  <c r="F113" i="35"/>
  <c r="F106" i="35"/>
  <c r="F105" i="35"/>
  <c r="F104" i="35"/>
  <c r="F103" i="35"/>
  <c r="F102" i="35"/>
  <c r="F100" i="35"/>
  <c r="F97" i="35"/>
  <c r="F96" i="35"/>
  <c r="F95" i="35"/>
  <c r="F94" i="35"/>
  <c r="F93" i="35"/>
  <c r="F92" i="35"/>
  <c r="F115" i="35" l="1"/>
  <c r="F119" i="35" s="1"/>
  <c r="J162" i="36" s="1"/>
  <c r="F126" i="35"/>
  <c r="F130" i="35"/>
  <c r="F98" i="35"/>
  <c r="F107" i="35"/>
  <c r="F108" i="35" l="1"/>
  <c r="J161" i="36" s="1"/>
  <c r="F61" i="36"/>
  <c r="I61" i="36" s="1"/>
  <c r="F60" i="36"/>
  <c r="I60" i="36" s="1"/>
  <c r="F59" i="36"/>
  <c r="I59" i="36" s="1"/>
  <c r="F58" i="36"/>
  <c r="I58" i="36" s="1"/>
  <c r="I62" i="36"/>
  <c r="H62" i="36"/>
  <c r="F62" i="36"/>
  <c r="I293" i="36" l="1"/>
  <c r="H293" i="36"/>
  <c r="F293" i="36"/>
  <c r="I261" i="36"/>
  <c r="D28" i="2" s="1"/>
  <c r="C28" i="4" s="1"/>
  <c r="H418" i="36"/>
  <c r="F418" i="36"/>
  <c r="I252" i="36"/>
  <c r="H252" i="36"/>
  <c r="F252" i="36"/>
  <c r="I222" i="36"/>
  <c r="H222" i="36"/>
  <c r="F222" i="36"/>
  <c r="F250" i="36"/>
  <c r="I250" i="36" s="1"/>
  <c r="F245" i="36"/>
  <c r="I245" i="36" s="1"/>
  <c r="F244" i="36"/>
  <c r="I244" i="36" s="1"/>
  <c r="F243" i="36"/>
  <c r="I243" i="36" s="1"/>
  <c r="F230" i="36"/>
  <c r="I230" i="36" s="1"/>
  <c r="F228" i="36"/>
  <c r="I228" i="36" s="1"/>
  <c r="F226" i="36"/>
  <c r="I226" i="36" s="1"/>
  <c r="F225" i="36"/>
  <c r="I225" i="36" s="1"/>
  <c r="F224" i="36"/>
  <c r="I224" i="36" s="1"/>
  <c r="F223" i="36"/>
  <c r="I223" i="36" s="1"/>
  <c r="H206" i="36"/>
  <c r="F206" i="36"/>
  <c r="H205" i="36"/>
  <c r="F205" i="36"/>
  <c r="H204" i="36"/>
  <c r="F204" i="36"/>
  <c r="H203" i="36"/>
  <c r="F203" i="36"/>
  <c r="H202" i="36"/>
  <c r="F202" i="36"/>
  <c r="H201" i="36"/>
  <c r="F201" i="36"/>
  <c r="H198" i="36"/>
  <c r="F198" i="36"/>
  <c r="H197" i="36"/>
  <c r="F197" i="36"/>
  <c r="H196" i="36"/>
  <c r="F196" i="36"/>
  <c r="H195" i="36"/>
  <c r="F195" i="36"/>
  <c r="H194" i="36"/>
  <c r="F194" i="36"/>
  <c r="H193" i="36"/>
  <c r="F193" i="36"/>
  <c r="H176" i="36"/>
  <c r="F176" i="36"/>
  <c r="H175" i="36"/>
  <c r="F175" i="36"/>
  <c r="H174" i="36"/>
  <c r="F174" i="36"/>
  <c r="H173" i="36"/>
  <c r="F173" i="36"/>
  <c r="H172" i="36"/>
  <c r="F172" i="36"/>
  <c r="H171" i="36"/>
  <c r="F171" i="36"/>
  <c r="H170" i="36"/>
  <c r="F170" i="36"/>
  <c r="I169" i="36"/>
  <c r="H169" i="36"/>
  <c r="F169" i="36"/>
  <c r="I152" i="36"/>
  <c r="I158" i="36" s="1"/>
  <c r="H152" i="36"/>
  <c r="F152" i="36"/>
  <c r="I146" i="36"/>
  <c r="H146" i="36"/>
  <c r="F146" i="36"/>
  <c r="I133" i="36"/>
  <c r="H133" i="36"/>
  <c r="F133" i="36"/>
  <c r="F139" i="36"/>
  <c r="I139" i="36" s="1"/>
  <c r="F138" i="36"/>
  <c r="I138" i="36" s="1"/>
  <c r="F137" i="36"/>
  <c r="I137" i="36" s="1"/>
  <c r="F136" i="36"/>
  <c r="I136" i="36" s="1"/>
  <c r="I129" i="36"/>
  <c r="H129" i="36"/>
  <c r="F129" i="36"/>
  <c r="I114" i="36"/>
  <c r="H109" i="36"/>
  <c r="H110" i="36"/>
  <c r="H111" i="36"/>
  <c r="H112" i="36"/>
  <c r="H113" i="36"/>
  <c r="F109" i="36"/>
  <c r="F110" i="36"/>
  <c r="F111" i="36"/>
  <c r="F112" i="36"/>
  <c r="F113" i="36"/>
  <c r="H108" i="36"/>
  <c r="F108" i="36"/>
  <c r="H166" i="36"/>
  <c r="F166" i="36"/>
  <c r="I165" i="36"/>
  <c r="H165" i="36"/>
  <c r="F165" i="36"/>
  <c r="I160" i="36"/>
  <c r="H160" i="36"/>
  <c r="F160" i="36"/>
  <c r="H161" i="36"/>
  <c r="F161" i="36"/>
  <c r="I161" i="36" l="1"/>
  <c r="I166" i="36"/>
  <c r="G28" i="4"/>
  <c r="I28" i="4"/>
  <c r="K28" i="4"/>
  <c r="E28" i="4"/>
  <c r="I112" i="36"/>
  <c r="I110" i="36"/>
  <c r="I113" i="36"/>
  <c r="I109" i="36"/>
  <c r="I108" i="36"/>
  <c r="I111" i="36"/>
  <c r="I418" i="36"/>
  <c r="I424" i="36" s="1"/>
  <c r="D36" i="2" s="1"/>
  <c r="I171" i="36"/>
  <c r="I173" i="36"/>
  <c r="I175" i="36"/>
  <c r="I170" i="36"/>
  <c r="I172" i="36"/>
  <c r="I174" i="36"/>
  <c r="I198" i="36"/>
  <c r="I194" i="36"/>
  <c r="I196" i="36"/>
  <c r="I201" i="36"/>
  <c r="I205" i="36"/>
  <c r="I193" i="36"/>
  <c r="I195" i="36"/>
  <c r="I197" i="36"/>
  <c r="I203" i="36"/>
  <c r="I202" i="36"/>
  <c r="I204" i="36"/>
  <c r="I206" i="36"/>
  <c r="I176" i="36"/>
  <c r="I251" i="36"/>
  <c r="I167" i="36"/>
  <c r="D25" i="2" s="1"/>
  <c r="C25" i="4" s="1"/>
  <c r="I87" i="36"/>
  <c r="H87" i="36"/>
  <c r="F87" i="36"/>
  <c r="F86" i="36"/>
  <c r="I86" i="36" s="1"/>
  <c r="F85" i="36"/>
  <c r="I85" i="36" s="1"/>
  <c r="F84" i="36"/>
  <c r="I84" i="36" s="1"/>
  <c r="F75" i="36"/>
  <c r="I75" i="36" s="1"/>
  <c r="F74" i="36"/>
  <c r="I74" i="36" s="1"/>
  <c r="F73" i="36"/>
  <c r="I73" i="36" s="1"/>
  <c r="F8" i="35"/>
  <c r="B12" i="35"/>
  <c r="B11" i="35"/>
  <c r="B10" i="35"/>
  <c r="B9" i="35"/>
  <c r="B8" i="35"/>
  <c r="F76" i="24"/>
  <c r="F75" i="24"/>
  <c r="F74" i="24"/>
  <c r="F73" i="24"/>
  <c r="F70" i="24"/>
  <c r="F69" i="24"/>
  <c r="I115" i="36" l="1"/>
  <c r="D21" i="2" s="1"/>
  <c r="C21" i="4" s="1"/>
  <c r="K21" i="4" s="1"/>
  <c r="G25" i="4"/>
  <c r="K25" i="4"/>
  <c r="I25" i="4"/>
  <c r="E25" i="4"/>
  <c r="I221" i="36"/>
  <c r="F71" i="24"/>
  <c r="F77" i="24"/>
  <c r="F78" i="24" s="1"/>
  <c r="J32" i="36" s="1"/>
  <c r="F62" i="35"/>
  <c r="F63" i="35" s="1"/>
  <c r="F66" i="35"/>
  <c r="F65" i="35"/>
  <c r="F59" i="35"/>
  <c r="F58" i="35"/>
  <c r="F55" i="35"/>
  <c r="F54" i="35"/>
  <c r="F47" i="35"/>
  <c r="F48" i="35" s="1"/>
  <c r="F44" i="35"/>
  <c r="F45" i="35" s="1"/>
  <c r="F37" i="35"/>
  <c r="F38" i="35" s="1"/>
  <c r="F34" i="35"/>
  <c r="F33" i="35"/>
  <c r="F19" i="35"/>
  <c r="F18" i="35"/>
  <c r="F23" i="35"/>
  <c r="F24" i="35"/>
  <c r="F25" i="35"/>
  <c r="F26" i="35"/>
  <c r="F22" i="35"/>
  <c r="F50" i="36"/>
  <c r="I50" i="36" s="1"/>
  <c r="H37" i="36"/>
  <c r="F37" i="36"/>
  <c r="H28" i="36"/>
  <c r="H27" i="36"/>
  <c r="F27" i="36"/>
  <c r="F28" i="36"/>
  <c r="I37" i="36" l="1"/>
  <c r="I21" i="4"/>
  <c r="F67" i="35"/>
  <c r="F49" i="35"/>
  <c r="F20" i="35"/>
  <c r="F60" i="35"/>
  <c r="F56" i="35"/>
  <c r="F27" i="35"/>
  <c r="F35" i="35"/>
  <c r="F39" i="35" s="1"/>
  <c r="J51" i="36" s="1"/>
  <c r="I28" i="36"/>
  <c r="I27" i="36"/>
  <c r="F68" i="35" l="1"/>
  <c r="J52" i="36" s="1"/>
  <c r="F28" i="35"/>
  <c r="J49" i="36" s="1"/>
  <c r="H117" i="36" l="1"/>
  <c r="F117" i="36"/>
  <c r="H125" i="36"/>
  <c r="F125" i="36"/>
  <c r="I117" i="36" l="1"/>
  <c r="I125" i="36"/>
  <c r="B40" i="2" l="1"/>
  <c r="B12" i="2"/>
  <c r="B11" i="2"/>
  <c r="E11" i="2"/>
  <c r="M8" i="4" s="1"/>
  <c r="D11" i="2"/>
  <c r="L8" i="4" s="1"/>
  <c r="E10" i="2"/>
  <c r="D10" i="2"/>
  <c r="L9" i="4" s="1"/>
  <c r="E9" i="2"/>
  <c r="D9" i="2"/>
  <c r="B37" i="4"/>
  <c r="A37" i="4"/>
  <c r="B36" i="4"/>
  <c r="A36" i="4"/>
  <c r="B34" i="2"/>
  <c r="A34" i="2"/>
  <c r="B33" i="2"/>
  <c r="B33" i="4" s="1"/>
  <c r="A33" i="2"/>
  <c r="A33" i="4" s="1"/>
  <c r="B32" i="2"/>
  <c r="B32" i="4" s="1"/>
  <c r="A32" i="2"/>
  <c r="A32" i="4" s="1"/>
  <c r="B31" i="2"/>
  <c r="B31" i="4" s="1"/>
  <c r="A31" i="2"/>
  <c r="A31" i="4" s="1"/>
  <c r="B29" i="2"/>
  <c r="A29" i="2"/>
  <c r="B26" i="2"/>
  <c r="A26" i="2"/>
  <c r="B24" i="2"/>
  <c r="A24" i="2"/>
  <c r="B23" i="2"/>
  <c r="A23" i="2"/>
  <c r="B22" i="2"/>
  <c r="A22" i="2"/>
  <c r="B20" i="2"/>
  <c r="B20" i="4" s="1"/>
  <c r="A20" i="2"/>
  <c r="A20" i="4" s="1"/>
  <c r="B19" i="2"/>
  <c r="A19" i="2"/>
  <c r="B18" i="2"/>
  <c r="A18" i="2"/>
  <c r="B17" i="2"/>
  <c r="A17" i="2"/>
  <c r="B16" i="2"/>
  <c r="A16" i="2"/>
  <c r="B10" i="2"/>
  <c r="B9" i="2"/>
  <c r="B8" i="2"/>
  <c r="A12" i="2"/>
  <c r="A10" i="4" s="1"/>
  <c r="A11" i="2"/>
  <c r="A9" i="4" s="1"/>
  <c r="A10" i="2"/>
  <c r="A8" i="4" s="1"/>
  <c r="A9" i="2"/>
  <c r="A7" i="4" s="1"/>
  <c r="F8" i="24" l="1"/>
  <c r="B12" i="24"/>
  <c r="B11" i="24"/>
  <c r="B10" i="24"/>
  <c r="B9" i="24"/>
  <c r="B8" i="24"/>
  <c r="H426" i="36"/>
  <c r="F426" i="36"/>
  <c r="I425" i="36"/>
  <c r="H425" i="36"/>
  <c r="F425" i="36"/>
  <c r="H407" i="36"/>
  <c r="F407" i="36"/>
  <c r="I406" i="36"/>
  <c r="H406" i="36"/>
  <c r="F406" i="36"/>
  <c r="F404" i="36"/>
  <c r="I404" i="36" s="1"/>
  <c r="H402" i="36"/>
  <c r="F402" i="36"/>
  <c r="I401" i="36"/>
  <c r="H401" i="36"/>
  <c r="F401" i="36"/>
  <c r="H400" i="36"/>
  <c r="F400" i="36"/>
  <c r="H399" i="36"/>
  <c r="F399" i="36"/>
  <c r="H398" i="36"/>
  <c r="F398" i="36"/>
  <c r="H397" i="36"/>
  <c r="F397" i="36"/>
  <c r="H396" i="36"/>
  <c r="F396" i="36"/>
  <c r="I395" i="36"/>
  <c r="H395" i="36"/>
  <c r="F395" i="36"/>
  <c r="H394" i="36"/>
  <c r="F394" i="36"/>
  <c r="H393" i="36"/>
  <c r="F393" i="36"/>
  <c r="H392" i="36"/>
  <c r="F392" i="36"/>
  <c r="H391" i="36"/>
  <c r="F391" i="36"/>
  <c r="H390" i="36"/>
  <c r="F390" i="36"/>
  <c r="H388" i="36"/>
  <c r="F388" i="36"/>
  <c r="H387" i="36"/>
  <c r="F387" i="36"/>
  <c r="H386" i="36"/>
  <c r="F386" i="36"/>
  <c r="H385" i="36"/>
  <c r="F385" i="36"/>
  <c r="H382" i="36"/>
  <c r="F382" i="36"/>
  <c r="H381" i="36"/>
  <c r="F381" i="36"/>
  <c r="H380" i="36"/>
  <c r="F380" i="36"/>
  <c r="H379" i="36"/>
  <c r="F379" i="36"/>
  <c r="H378" i="36"/>
  <c r="F378" i="36"/>
  <c r="H377" i="36"/>
  <c r="F377" i="36"/>
  <c r="H376" i="36"/>
  <c r="F376" i="36"/>
  <c r="I374" i="36"/>
  <c r="H374" i="36"/>
  <c r="F374" i="36"/>
  <c r="H369" i="36"/>
  <c r="F369" i="36"/>
  <c r="H367" i="36"/>
  <c r="F367" i="36"/>
  <c r="F365" i="36"/>
  <c r="H362" i="36"/>
  <c r="H361" i="36"/>
  <c r="F361" i="36"/>
  <c r="H360" i="36"/>
  <c r="F360" i="36"/>
  <c r="H359" i="36"/>
  <c r="F359" i="36"/>
  <c r="H358" i="36"/>
  <c r="H357" i="36"/>
  <c r="F357" i="36"/>
  <c r="H356" i="36"/>
  <c r="F356" i="36"/>
  <c r="H355" i="36"/>
  <c r="F355" i="36"/>
  <c r="H354" i="36"/>
  <c r="F354" i="36"/>
  <c r="H353" i="36"/>
  <c r="F353" i="36"/>
  <c r="F351" i="36"/>
  <c r="H350" i="36"/>
  <c r="F350" i="36"/>
  <c r="H348" i="36"/>
  <c r="F348" i="36"/>
  <c r="H347" i="36"/>
  <c r="F347" i="36"/>
  <c r="H342" i="36"/>
  <c r="F342" i="36"/>
  <c r="H341" i="36"/>
  <c r="F341" i="36"/>
  <c r="H333" i="36"/>
  <c r="F333" i="36"/>
  <c r="H332" i="36"/>
  <c r="F332" i="36"/>
  <c r="H329" i="36"/>
  <c r="F329" i="36"/>
  <c r="H328" i="36"/>
  <c r="F328" i="36"/>
  <c r="H327" i="36"/>
  <c r="F327" i="36"/>
  <c r="H326" i="36"/>
  <c r="F326" i="36"/>
  <c r="H325" i="36"/>
  <c r="F325" i="36"/>
  <c r="H324" i="36"/>
  <c r="F324" i="36"/>
  <c r="H323" i="36"/>
  <c r="F323" i="36"/>
  <c r="H321" i="36"/>
  <c r="F321" i="36"/>
  <c r="H320" i="36"/>
  <c r="F320" i="36"/>
  <c r="H319" i="36"/>
  <c r="F319" i="36"/>
  <c r="H318" i="36"/>
  <c r="F318" i="36"/>
  <c r="H317" i="36"/>
  <c r="F317" i="36"/>
  <c r="H316" i="36"/>
  <c r="F316" i="36"/>
  <c r="H315" i="36"/>
  <c r="F315" i="36"/>
  <c r="H314" i="36"/>
  <c r="F314" i="36"/>
  <c r="H313" i="36"/>
  <c r="F313" i="36"/>
  <c r="H312" i="36"/>
  <c r="F312" i="36"/>
  <c r="H291" i="36"/>
  <c r="F291" i="36"/>
  <c r="H290" i="36"/>
  <c r="F290" i="36"/>
  <c r="H289" i="36"/>
  <c r="F289" i="36"/>
  <c r="H288" i="36"/>
  <c r="F288" i="36"/>
  <c r="H287" i="36"/>
  <c r="F287" i="36"/>
  <c r="H286" i="36"/>
  <c r="F286" i="36"/>
  <c r="H285" i="36"/>
  <c r="F285" i="36"/>
  <c r="H284" i="36"/>
  <c r="F284" i="36"/>
  <c r="H283" i="36"/>
  <c r="F283" i="36"/>
  <c r="H282" i="36"/>
  <c r="F282" i="36"/>
  <c r="H281" i="36"/>
  <c r="F281" i="36"/>
  <c r="H280" i="36"/>
  <c r="F280" i="36"/>
  <c r="H279" i="36"/>
  <c r="F279" i="36"/>
  <c r="H278" i="36"/>
  <c r="F278" i="36"/>
  <c r="H277" i="36"/>
  <c r="F277" i="36"/>
  <c r="H276" i="36"/>
  <c r="F276" i="36"/>
  <c r="H275" i="36"/>
  <c r="F275" i="36"/>
  <c r="H274" i="36"/>
  <c r="F274" i="36"/>
  <c r="H273" i="36"/>
  <c r="F273" i="36"/>
  <c r="H272" i="36"/>
  <c r="F272" i="36"/>
  <c r="H271" i="36"/>
  <c r="F271" i="36"/>
  <c r="H270" i="36"/>
  <c r="F270" i="36"/>
  <c r="H269" i="36"/>
  <c r="F269" i="36"/>
  <c r="H268" i="36"/>
  <c r="F268" i="36"/>
  <c r="H267" i="36"/>
  <c r="F267" i="36"/>
  <c r="H265" i="36"/>
  <c r="F265" i="36"/>
  <c r="H264" i="36"/>
  <c r="F264" i="36"/>
  <c r="H263" i="36"/>
  <c r="F263" i="36"/>
  <c r="I262" i="36"/>
  <c r="H262" i="36"/>
  <c r="F262" i="36"/>
  <c r="I168" i="36"/>
  <c r="H168" i="36"/>
  <c r="F168" i="36"/>
  <c r="F135" i="36"/>
  <c r="I135" i="36" s="1"/>
  <c r="H134" i="36"/>
  <c r="F134" i="36"/>
  <c r="H131" i="36"/>
  <c r="F131" i="36"/>
  <c r="H130" i="36"/>
  <c r="F130" i="36"/>
  <c r="I128" i="36"/>
  <c r="H128" i="36"/>
  <c r="F128" i="36"/>
  <c r="H123" i="36"/>
  <c r="F123" i="36"/>
  <c r="I116" i="36"/>
  <c r="H116" i="36"/>
  <c r="F116" i="36"/>
  <c r="H105" i="36"/>
  <c r="F105" i="36"/>
  <c r="H104" i="36"/>
  <c r="F104" i="36"/>
  <c r="H102" i="36"/>
  <c r="F102" i="36"/>
  <c r="H101" i="36"/>
  <c r="F101" i="36"/>
  <c r="H100" i="36"/>
  <c r="F100" i="36"/>
  <c r="H98" i="36"/>
  <c r="F98" i="36"/>
  <c r="H97" i="36"/>
  <c r="F97" i="36"/>
  <c r="H96" i="36"/>
  <c r="F96" i="36"/>
  <c r="H95" i="36"/>
  <c r="F95" i="36"/>
  <c r="H83" i="36"/>
  <c r="F83" i="36"/>
  <c r="H82" i="36"/>
  <c r="F82" i="36"/>
  <c r="H81" i="36"/>
  <c r="F81" i="36"/>
  <c r="H80" i="36"/>
  <c r="F80" i="36"/>
  <c r="H79" i="36"/>
  <c r="F79" i="36"/>
  <c r="H78" i="36"/>
  <c r="F78" i="36"/>
  <c r="H77" i="36"/>
  <c r="F77" i="36"/>
  <c r="I76" i="36"/>
  <c r="H76" i="36"/>
  <c r="F76" i="36"/>
  <c r="H72" i="36"/>
  <c r="F72" i="36"/>
  <c r="H71" i="36"/>
  <c r="F71" i="36"/>
  <c r="H70" i="36"/>
  <c r="F70" i="36"/>
  <c r="H69" i="36"/>
  <c r="F69" i="36"/>
  <c r="I68" i="36"/>
  <c r="H68" i="36"/>
  <c r="F68" i="36"/>
  <c r="H67" i="36"/>
  <c r="F67" i="36"/>
  <c r="H66" i="36"/>
  <c r="F66" i="36"/>
  <c r="H65" i="36"/>
  <c r="F65" i="36"/>
  <c r="H64" i="36"/>
  <c r="F64" i="36"/>
  <c r="H57" i="36"/>
  <c r="F57" i="36"/>
  <c r="H56" i="36"/>
  <c r="F56" i="36"/>
  <c r="H55" i="36"/>
  <c r="F55" i="36"/>
  <c r="H54" i="36"/>
  <c r="F54" i="36"/>
  <c r="I53" i="36"/>
  <c r="H53" i="36"/>
  <c r="F53" i="36"/>
  <c r="F52" i="36"/>
  <c r="I52" i="36" s="1"/>
  <c r="F51" i="36"/>
  <c r="I51" i="36" s="1"/>
  <c r="H49" i="36"/>
  <c r="I48" i="36"/>
  <c r="H48" i="36"/>
  <c r="F48" i="36"/>
  <c r="H47" i="36"/>
  <c r="F47" i="36"/>
  <c r="H46" i="36"/>
  <c r="F46" i="36"/>
  <c r="H45" i="36"/>
  <c r="F45" i="36"/>
  <c r="H44" i="36"/>
  <c r="F44" i="36"/>
  <c r="H43" i="36"/>
  <c r="F43" i="36"/>
  <c r="H42" i="36"/>
  <c r="F42" i="36"/>
  <c r="H41" i="36"/>
  <c r="F41" i="36"/>
  <c r="I40" i="36"/>
  <c r="H40" i="36"/>
  <c r="F40" i="36"/>
  <c r="H36" i="36"/>
  <c r="F36" i="36"/>
  <c r="H35" i="36"/>
  <c r="F35" i="36"/>
  <c r="H32" i="36"/>
  <c r="F32" i="36"/>
  <c r="H31" i="36"/>
  <c r="F31" i="36"/>
  <c r="H30" i="36"/>
  <c r="F30" i="36"/>
  <c r="H29" i="36"/>
  <c r="F29" i="36"/>
  <c r="H26" i="36"/>
  <c r="F26" i="36"/>
  <c r="H25" i="36"/>
  <c r="F25" i="36"/>
  <c r="H24" i="36"/>
  <c r="F24" i="36"/>
  <c r="H23" i="36"/>
  <c r="F23" i="36"/>
  <c r="H22" i="36"/>
  <c r="F22" i="36"/>
  <c r="H21" i="36"/>
  <c r="F21" i="36"/>
  <c r="H20" i="36"/>
  <c r="F20" i="36"/>
  <c r="H19" i="36"/>
  <c r="F19" i="36"/>
  <c r="H18" i="36"/>
  <c r="F18" i="36"/>
  <c r="H15" i="36"/>
  <c r="F15" i="36"/>
  <c r="C167" i="24"/>
  <c r="G161" i="24" s="1"/>
  <c r="I319" i="36" l="1"/>
  <c r="I385" i="36"/>
  <c r="I387" i="36"/>
  <c r="I402" i="36"/>
  <c r="I97" i="36"/>
  <c r="I102" i="36"/>
  <c r="I70" i="36"/>
  <c r="I328" i="36"/>
  <c r="I361" i="36"/>
  <c r="I72" i="36"/>
  <c r="I267" i="36"/>
  <c r="I19" i="36"/>
  <c r="I313" i="36"/>
  <c r="I342" i="36"/>
  <c r="I348" i="36"/>
  <c r="I123" i="36"/>
  <c r="I25" i="36"/>
  <c r="I271" i="36"/>
  <c r="I277" i="36"/>
  <c r="I393" i="36"/>
  <c r="I275" i="36"/>
  <c r="I391" i="36"/>
  <c r="I45" i="36"/>
  <c r="I80" i="36"/>
  <c r="I67" i="36"/>
  <c r="I29" i="36"/>
  <c r="I284" i="36"/>
  <c r="I287" i="36"/>
  <c r="I290" i="36"/>
  <c r="I321" i="36"/>
  <c r="I386" i="36"/>
  <c r="I54" i="36"/>
  <c r="I65" i="36"/>
  <c r="I377" i="36"/>
  <c r="I22" i="36"/>
  <c r="I31" i="36"/>
  <c r="I280" i="36"/>
  <c r="I57" i="36"/>
  <c r="I77" i="36"/>
  <c r="I79" i="36"/>
  <c r="I357" i="36"/>
  <c r="I367" i="36"/>
  <c r="I369" i="36"/>
  <c r="I388" i="36"/>
  <c r="I396" i="36"/>
  <c r="I400" i="36"/>
  <c r="I24" i="36"/>
  <c r="I26" i="36"/>
  <c r="I44" i="36"/>
  <c r="I49" i="36"/>
  <c r="I96" i="36"/>
  <c r="I98" i="36"/>
  <c r="I101" i="36"/>
  <c r="I105" i="36"/>
  <c r="I131" i="36"/>
  <c r="I272" i="36"/>
  <c r="I285" i="36"/>
  <c r="I289" i="36"/>
  <c r="I316" i="36"/>
  <c r="I318" i="36"/>
  <c r="I354" i="36"/>
  <c r="I356" i="36"/>
  <c r="I379" i="36"/>
  <c r="I381" i="36"/>
  <c r="I397" i="36"/>
  <c r="I399" i="36"/>
  <c r="I378" i="36"/>
  <c r="I382" i="36"/>
  <c r="I392" i="36"/>
  <c r="I394" i="36"/>
  <c r="I41" i="36"/>
  <c r="I46" i="36"/>
  <c r="I81" i="36"/>
  <c r="I83" i="36"/>
  <c r="I100" i="36"/>
  <c r="I130" i="36"/>
  <c r="I263" i="36"/>
  <c r="I265" i="36"/>
  <c r="I270" i="36"/>
  <c r="I286" i="36"/>
  <c r="I312" i="36"/>
  <c r="I314" i="36"/>
  <c r="I325" i="36"/>
  <c r="I327" i="36"/>
  <c r="I332" i="36"/>
  <c r="I341" i="36"/>
  <c r="I359" i="36"/>
  <c r="I64" i="36"/>
  <c r="I71" i="36"/>
  <c r="I78" i="36"/>
  <c r="I326" i="36"/>
  <c r="I18" i="36"/>
  <c r="I47" i="36"/>
  <c r="I281" i="36"/>
  <c r="I21" i="36"/>
  <c r="I35" i="36"/>
  <c r="I66" i="36"/>
  <c r="I69" i="36"/>
  <c r="I134" i="36"/>
  <c r="I353" i="36"/>
  <c r="I398" i="36"/>
  <c r="I407" i="36"/>
  <c r="I324" i="36"/>
  <c r="I329" i="36"/>
  <c r="I347" i="36"/>
  <c r="I358" i="36"/>
  <c r="I360" i="36"/>
  <c r="I376" i="36"/>
  <c r="I15" i="36"/>
  <c r="I16" i="36" s="1"/>
  <c r="D16" i="2" s="1"/>
  <c r="I20" i="36"/>
  <c r="I23" i="36"/>
  <c r="I30" i="36"/>
  <c r="I32" i="36"/>
  <c r="I43" i="36"/>
  <c r="I56" i="36"/>
  <c r="I82" i="36"/>
  <c r="I104" i="36"/>
  <c r="I264" i="36"/>
  <c r="I269" i="36"/>
  <c r="I273" i="36"/>
  <c r="I276" i="36"/>
  <c r="I278" i="36"/>
  <c r="I283" i="36"/>
  <c r="I288" i="36"/>
  <c r="I291" i="36"/>
  <c r="I317" i="36"/>
  <c r="I323" i="36"/>
  <c r="I333" i="36"/>
  <c r="I350" i="36"/>
  <c r="I355" i="36"/>
  <c r="I362" i="36"/>
  <c r="I380" i="36"/>
  <c r="I390" i="36"/>
  <c r="I426" i="36"/>
  <c r="I274" i="36"/>
  <c r="I279" i="36"/>
  <c r="I315" i="36"/>
  <c r="I320" i="36"/>
  <c r="I42" i="36"/>
  <c r="I55" i="36"/>
  <c r="I268" i="36"/>
  <c r="I282" i="36"/>
  <c r="I36" i="36"/>
  <c r="I95" i="36"/>
  <c r="F504" i="24"/>
  <c r="F503" i="24"/>
  <c r="F502" i="24"/>
  <c r="F501" i="24"/>
  <c r="F498" i="24"/>
  <c r="F497" i="24"/>
  <c r="F463" i="24"/>
  <c r="F462" i="24"/>
  <c r="F461" i="24"/>
  <c r="F458" i="24"/>
  <c r="F457" i="24"/>
  <c r="F449" i="24"/>
  <c r="F448" i="24"/>
  <c r="F445" i="24"/>
  <c r="F444" i="24"/>
  <c r="F278" i="24"/>
  <c r="F277" i="24"/>
  <c r="F274" i="24"/>
  <c r="F273" i="24"/>
  <c r="F266" i="24"/>
  <c r="F265" i="24"/>
  <c r="F262" i="24"/>
  <c r="F261" i="24"/>
  <c r="F157" i="24"/>
  <c r="F159" i="24" s="1"/>
  <c r="C131" i="24"/>
  <c r="F123" i="24"/>
  <c r="F122" i="24"/>
  <c r="F119" i="24"/>
  <c r="F118" i="24"/>
  <c r="C97" i="24"/>
  <c r="G88" i="24" s="1"/>
  <c r="F87" i="24"/>
  <c r="F84" i="24"/>
  <c r="F83" i="24"/>
  <c r="F240" i="24"/>
  <c r="F241" i="24" s="1"/>
  <c r="F237" i="24"/>
  <c r="F238" i="24" s="1"/>
  <c r="F62" i="24"/>
  <c r="F61" i="24"/>
  <c r="F60" i="24"/>
  <c r="F59" i="24"/>
  <c r="F58" i="24"/>
  <c r="F57" i="24"/>
  <c r="F56" i="24"/>
  <c r="F55" i="24"/>
  <c r="F54" i="24"/>
  <c r="F53" i="24"/>
  <c r="F52" i="24"/>
  <c r="F51" i="24"/>
  <c r="F50" i="24"/>
  <c r="F49" i="24"/>
  <c r="F48" i="24"/>
  <c r="F47" i="24"/>
  <c r="F46" i="24"/>
  <c r="F43" i="24"/>
  <c r="F42" i="24"/>
  <c r="F35" i="24"/>
  <c r="F34" i="24"/>
  <c r="F33" i="24"/>
  <c r="F32" i="24"/>
  <c r="F31" i="24"/>
  <c r="F28" i="24"/>
  <c r="F27" i="24"/>
  <c r="F18" i="24"/>
  <c r="F17" i="24"/>
  <c r="F450" i="31"/>
  <c r="F449" i="31"/>
  <c r="F448" i="31"/>
  <c r="F445" i="31"/>
  <c r="F444" i="31"/>
  <c r="F245" i="31"/>
  <c r="F244" i="31"/>
  <c r="F243" i="31"/>
  <c r="F242" i="31"/>
  <c r="F241" i="31"/>
  <c r="F240" i="31"/>
  <c r="F239" i="31"/>
  <c r="F238" i="31"/>
  <c r="F237" i="31"/>
  <c r="F234" i="31"/>
  <c r="F233" i="31"/>
  <c r="C394" i="31"/>
  <c r="F386" i="31" s="1"/>
  <c r="F387" i="31" s="1"/>
  <c r="F383" i="31"/>
  <c r="F382" i="31"/>
  <c r="C349" i="31"/>
  <c r="F341" i="31"/>
  <c r="F342" i="31" s="1"/>
  <c r="F338" i="31"/>
  <c r="F337" i="31"/>
  <c r="F330" i="31"/>
  <c r="F329" i="31"/>
  <c r="F326" i="31"/>
  <c r="F325" i="31"/>
  <c r="C141" i="31"/>
  <c r="F133" i="31"/>
  <c r="F134" i="31" s="1"/>
  <c r="F130" i="31"/>
  <c r="F129" i="31"/>
  <c r="C124" i="31"/>
  <c r="F116" i="31"/>
  <c r="F117" i="31" s="1"/>
  <c r="F113" i="31"/>
  <c r="F112" i="31"/>
  <c r="C107" i="31"/>
  <c r="F99" i="31"/>
  <c r="F100" i="31" s="1"/>
  <c r="F96" i="31"/>
  <c r="F95" i="31"/>
  <c r="C90" i="31"/>
  <c r="F82" i="31"/>
  <c r="F83" i="31" s="1"/>
  <c r="F79" i="31"/>
  <c r="F78" i="31"/>
  <c r="C57" i="31"/>
  <c r="F49" i="31"/>
  <c r="F50" i="31" s="1"/>
  <c r="F46" i="31"/>
  <c r="F47" i="31" s="1"/>
  <c r="F33" i="31"/>
  <c r="F34" i="31" s="1"/>
  <c r="F30" i="31"/>
  <c r="F29" i="31"/>
  <c r="F22" i="31"/>
  <c r="F23" i="31" s="1"/>
  <c r="F19" i="31"/>
  <c r="F18" i="31"/>
  <c r="F298" i="29"/>
  <c r="F297" i="29"/>
  <c r="F296" i="29"/>
  <c r="F293" i="29"/>
  <c r="F292" i="29"/>
  <c r="F285" i="29"/>
  <c r="F282" i="29"/>
  <c r="F281" i="29"/>
  <c r="F274" i="29"/>
  <c r="F273" i="29"/>
  <c r="F272" i="29"/>
  <c r="F269" i="29"/>
  <c r="F268" i="29"/>
  <c r="F261" i="29"/>
  <c r="F260" i="29"/>
  <c r="F259" i="29"/>
  <c r="F256" i="29"/>
  <c r="F255" i="29"/>
  <c r="F248" i="29"/>
  <c r="F245" i="29"/>
  <c r="F244" i="29"/>
  <c r="F237" i="29"/>
  <c r="F236" i="29"/>
  <c r="F233" i="29"/>
  <c r="F232" i="29"/>
  <c r="F225" i="29"/>
  <c r="F223" i="29"/>
  <c r="F220" i="29"/>
  <c r="F219"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F84" i="35"/>
  <c r="F80" i="35"/>
  <c r="F79" i="35"/>
  <c r="F76" i="35"/>
  <c r="F75" i="35"/>
  <c r="F74" i="35"/>
  <c r="F73" i="35"/>
  <c r="F451" i="24" l="1"/>
  <c r="I373" i="36"/>
  <c r="D34" i="2" s="1"/>
  <c r="I338" i="36"/>
  <c r="D31" i="2" s="1"/>
  <c r="C31" i="4" s="1"/>
  <c r="I31" i="4" s="1"/>
  <c r="F144" i="29"/>
  <c r="F67" i="29"/>
  <c r="F158" i="29"/>
  <c r="F246" i="29"/>
  <c r="F257" i="29"/>
  <c r="F147" i="29"/>
  <c r="F101" i="29"/>
  <c r="F155" i="29"/>
  <c r="F166" i="29"/>
  <c r="F221" i="29"/>
  <c r="F249" i="29"/>
  <c r="F270" i="29"/>
  <c r="F283" i="29"/>
  <c r="F114" i="29"/>
  <c r="F20" i="29"/>
  <c r="F48" i="29"/>
  <c r="F75" i="29"/>
  <c r="F93" i="29"/>
  <c r="F234" i="29"/>
  <c r="F299" i="29"/>
  <c r="F120" i="29"/>
  <c r="F262" i="29"/>
  <c r="F275" i="29"/>
  <c r="F286" i="29"/>
  <c r="F26" i="29"/>
  <c r="F34" i="29"/>
  <c r="F62" i="29"/>
  <c r="F79" i="29"/>
  <c r="F87" i="29"/>
  <c r="F106" i="29"/>
  <c r="F226" i="29"/>
  <c r="F238" i="29"/>
  <c r="F294" i="29"/>
  <c r="F54" i="29"/>
  <c r="F40" i="29"/>
  <c r="I93" i="36"/>
  <c r="D19" i="2" s="1"/>
  <c r="I409" i="36"/>
  <c r="D35" i="2" s="1"/>
  <c r="I106" i="36"/>
  <c r="D20" i="2" s="1"/>
  <c r="C20" i="4" s="1"/>
  <c r="F170" i="29"/>
  <c r="F451" i="31"/>
  <c r="F331" i="31"/>
  <c r="F446" i="31"/>
  <c r="F339" i="31"/>
  <c r="F343" i="31" s="1"/>
  <c r="J183" i="36" s="1"/>
  <c r="F384" i="31"/>
  <c r="F388" i="31" s="1"/>
  <c r="J199" i="36" s="1"/>
  <c r="F80" i="31"/>
  <c r="F84" i="31" s="1"/>
  <c r="J228" i="36" s="1"/>
  <c r="F97" i="31"/>
  <c r="F101" i="31" s="1"/>
  <c r="J242" i="36" s="1"/>
  <c r="F114" i="31"/>
  <c r="F118" i="31" s="1"/>
  <c r="J243" i="36" s="1"/>
  <c r="F327" i="31"/>
  <c r="F31" i="31"/>
  <c r="F35" i="31" s="1"/>
  <c r="J227" i="36" s="1"/>
  <c r="F51" i="31"/>
  <c r="J226" i="36" s="1"/>
  <c r="F235" i="31"/>
  <c r="F246" i="31"/>
  <c r="F131" i="31"/>
  <c r="F135" i="31" s="1"/>
  <c r="J250" i="36" s="1"/>
  <c r="F20" i="31"/>
  <c r="F24" i="31" s="1"/>
  <c r="J223" i="36" s="1"/>
  <c r="I127" i="36"/>
  <c r="D22" i="2" s="1"/>
  <c r="C22" i="4" s="1"/>
  <c r="I144" i="36"/>
  <c r="D23" i="2" s="1"/>
  <c r="F120" i="24"/>
  <c r="F85" i="24"/>
  <c r="F44" i="24"/>
  <c r="F242" i="24"/>
  <c r="J108" i="36" s="1"/>
  <c r="F267" i="24"/>
  <c r="F160" i="24"/>
  <c r="J405" i="36" s="1"/>
  <c r="F263" i="24"/>
  <c r="F275" i="24"/>
  <c r="F446" i="24"/>
  <c r="F464" i="24"/>
  <c r="F89" i="24"/>
  <c r="D24" i="2"/>
  <c r="F29" i="24"/>
  <c r="F63" i="24"/>
  <c r="K388" i="36"/>
  <c r="C36" i="4"/>
  <c r="I36" i="4" s="1"/>
  <c r="I38" i="36"/>
  <c r="D18" i="2" s="1"/>
  <c r="I365" i="36"/>
  <c r="D33" i="2" s="1"/>
  <c r="C33" i="4" s="1"/>
  <c r="I33" i="4" s="1"/>
  <c r="I292" i="36"/>
  <c r="D29" i="2" s="1"/>
  <c r="D26" i="2"/>
  <c r="I351" i="36"/>
  <c r="D32" i="2" s="1"/>
  <c r="C32" i="4" s="1"/>
  <c r="I32" i="4" s="1"/>
  <c r="D27" i="2"/>
  <c r="I429" i="36"/>
  <c r="I33" i="36"/>
  <c r="D17" i="2" s="1"/>
  <c r="F77" i="35"/>
  <c r="F85" i="35"/>
  <c r="F459" i="24"/>
  <c r="F124" i="24"/>
  <c r="F19" i="24"/>
  <c r="F20" i="24" s="1"/>
  <c r="J15" i="36" s="1"/>
  <c r="F36" i="24"/>
  <c r="F499" i="24"/>
  <c r="F279" i="24"/>
  <c r="F505" i="24"/>
  <c r="F452" i="24" l="1"/>
  <c r="J367" i="36" s="1"/>
  <c r="D37" i="2"/>
  <c r="C37" i="4" s="1"/>
  <c r="I37" i="4" s="1"/>
  <c r="I430" i="36"/>
  <c r="E431" i="36" s="1"/>
  <c r="F41" i="29"/>
  <c r="J265" i="36" s="1"/>
  <c r="F148" i="29"/>
  <c r="J288" i="36" s="1"/>
  <c r="F159" i="29"/>
  <c r="J289" i="36" s="1"/>
  <c r="F300" i="29"/>
  <c r="F263" i="29"/>
  <c r="J330" i="36" s="1"/>
  <c r="F250" i="29"/>
  <c r="J336" i="36" s="1"/>
  <c r="F171" i="29"/>
  <c r="F27" i="29"/>
  <c r="J264" i="36" s="1"/>
  <c r="F227" i="29"/>
  <c r="J329" i="36" s="1"/>
  <c r="F287" i="29"/>
  <c r="J332" i="36" s="1"/>
  <c r="F121" i="29"/>
  <c r="J284" i="36" s="1"/>
  <c r="F276" i="29"/>
  <c r="J331" i="36" s="1"/>
  <c r="F94" i="29"/>
  <c r="J281" i="36" s="1"/>
  <c r="F55" i="29"/>
  <c r="J266" i="36" s="1"/>
  <c r="F68" i="29"/>
  <c r="J267" i="36" s="1"/>
  <c r="F107" i="29"/>
  <c r="J282" i="36" s="1"/>
  <c r="F239" i="29"/>
  <c r="J334" i="36" s="1"/>
  <c r="F80" i="29"/>
  <c r="J271" i="36" s="1"/>
  <c r="K20" i="4"/>
  <c r="I20" i="4"/>
  <c r="K22" i="4"/>
  <c r="I22" i="4"/>
  <c r="E33" i="4"/>
  <c r="G33" i="4"/>
  <c r="K33" i="4"/>
  <c r="G31" i="4"/>
  <c r="K31" i="4"/>
  <c r="E31" i="4"/>
  <c r="G32" i="4"/>
  <c r="K32" i="4"/>
  <c r="E32" i="4"/>
  <c r="K36" i="4"/>
  <c r="G36" i="4"/>
  <c r="E36" i="4"/>
  <c r="F452" i="31"/>
  <c r="J215" i="36" s="1"/>
  <c r="F332" i="31"/>
  <c r="J171" i="36" s="1"/>
  <c r="F247" i="31"/>
  <c r="J232" i="36" s="1"/>
  <c r="F125" i="24"/>
  <c r="F90" i="24"/>
  <c r="J136" i="36" s="1"/>
  <c r="F465" i="24"/>
  <c r="J369" i="36" s="1"/>
  <c r="F37" i="24"/>
  <c r="J18" i="36" s="1"/>
  <c r="F64" i="24"/>
  <c r="J24" i="36" s="1"/>
  <c r="F280" i="24"/>
  <c r="J304" i="36" s="1"/>
  <c r="F268" i="24"/>
  <c r="J303" i="36" s="1"/>
  <c r="K430" i="36"/>
  <c r="F86" i="35"/>
  <c r="J63" i="36" s="1"/>
  <c r="F506" i="24"/>
  <c r="J166" i="36" s="1"/>
  <c r="K37" i="4" l="1"/>
  <c r="G37" i="4"/>
  <c r="E37" i="4"/>
  <c r="J294" i="36"/>
  <c r="J302" i="36"/>
  <c r="D25" i="26" l="1"/>
  <c r="C23" i="26"/>
  <c r="D26" i="26" s="1"/>
  <c r="C26" i="26" s="1"/>
  <c r="C17" i="26"/>
  <c r="C14" i="26"/>
  <c r="B17" i="4" l="1"/>
  <c r="A17" i="4"/>
  <c r="B29" i="4" l="1"/>
  <c r="A29" i="4"/>
  <c r="B27" i="4"/>
  <c r="A27" i="4"/>
  <c r="C29" i="4" l="1"/>
  <c r="I29" i="4" s="1"/>
  <c r="K29" i="4" l="1"/>
  <c r="G29" i="4"/>
  <c r="E29" i="4"/>
  <c r="C17" i="4" l="1"/>
  <c r="I17" i="4" s="1"/>
  <c r="K17" i="4" l="1"/>
  <c r="G17" i="4"/>
  <c r="E17" i="4"/>
  <c r="C27" i="4" l="1"/>
  <c r="I27" i="4" s="1"/>
  <c r="K27" i="4" l="1"/>
  <c r="E27" i="4"/>
  <c r="G27" i="4"/>
  <c r="B24" i="4" l="1"/>
  <c r="A24" i="4"/>
  <c r="B35" i="4" l="1"/>
  <c r="B34" i="4"/>
  <c r="B26" i="4"/>
  <c r="B23" i="4"/>
  <c r="B22" i="4"/>
  <c r="B19" i="4"/>
  <c r="B18" i="4"/>
  <c r="B16" i="4"/>
  <c r="A35" i="4"/>
  <c r="A34" i="4"/>
  <c r="A26" i="4"/>
  <c r="A23" i="4"/>
  <c r="A22" i="4"/>
  <c r="A19" i="4"/>
  <c r="A16" i="4"/>
  <c r="C24" i="4" l="1"/>
  <c r="I24" i="4" s="1"/>
  <c r="C26" i="4"/>
  <c r="I26" i="4" s="1"/>
  <c r="G21" i="4"/>
  <c r="K26" i="4" l="1"/>
  <c r="E26" i="4"/>
  <c r="G26" i="4"/>
  <c r="G24" i="4"/>
  <c r="K24" i="4"/>
  <c r="E24" i="4"/>
  <c r="E21" i="4"/>
  <c r="C34" i="4"/>
  <c r="I34" i="4" s="1"/>
  <c r="K34" i="4" l="1"/>
  <c r="E34" i="4"/>
  <c r="G34" i="4"/>
  <c r="B6" i="4" l="1"/>
  <c r="A18" i="4" l="1"/>
  <c r="C35" i="4" l="1"/>
  <c r="I35" i="4" s="1"/>
  <c r="B7" i="4"/>
  <c r="B8" i="4"/>
  <c r="G35" i="4" l="1"/>
  <c r="E35" i="4"/>
  <c r="K35" i="4"/>
  <c r="M9" i="4"/>
  <c r="B10" i="4"/>
  <c r="B9" i="4"/>
  <c r="C23" i="4" l="1"/>
  <c r="I23" i="4" s="1"/>
  <c r="K23" i="4" l="1"/>
  <c r="G23" i="4"/>
  <c r="E23" i="4"/>
  <c r="C18" i="4"/>
  <c r="I18" i="4" s="1"/>
  <c r="G20" i="4"/>
  <c r="K18" i="4" l="1"/>
  <c r="E18" i="4"/>
  <c r="G18" i="4"/>
  <c r="E20" i="4"/>
  <c r="C19" i="4"/>
  <c r="I19" i="4" s="1"/>
  <c r="G19" i="4" l="1"/>
  <c r="K19" i="4"/>
  <c r="E19" i="4"/>
  <c r="C16" i="4" l="1"/>
  <c r="I16" i="4" s="1"/>
  <c r="E16" i="4" l="1"/>
  <c r="G16" i="4"/>
  <c r="K16" i="4"/>
  <c r="G22" i="4" l="1"/>
  <c r="G38" i="4" s="1"/>
  <c r="E22" i="4"/>
  <c r="K38" i="4"/>
  <c r="E38" i="4" l="1"/>
  <c r="I38" i="4"/>
  <c r="D38" i="2"/>
  <c r="C38" i="4"/>
  <c r="H38" i="4" s="1"/>
  <c r="L38" i="4" l="1"/>
  <c r="J38" i="4"/>
  <c r="F38" i="4"/>
  <c r="E32" i="2"/>
  <c r="E33" i="2"/>
  <c r="E31" i="2"/>
  <c r="E30" i="2"/>
  <c r="D22" i="4"/>
  <c r="D21" i="4"/>
  <c r="D20" i="4"/>
  <c r="D25" i="4"/>
  <c r="D30" i="4"/>
  <c r="D28" i="4"/>
  <c r="D31" i="4"/>
  <c r="D32" i="4"/>
  <c r="D33" i="4"/>
  <c r="D37" i="4"/>
  <c r="D36" i="4"/>
  <c r="D29" i="4"/>
  <c r="D17" i="4"/>
  <c r="D27" i="4"/>
  <c r="D26" i="4"/>
  <c r="D24" i="4"/>
  <c r="D34" i="4"/>
  <c r="D35" i="4"/>
  <c r="D23" i="4"/>
  <c r="D18" i="4"/>
  <c r="D19" i="4"/>
  <c r="E28" i="2"/>
  <c r="E17" i="2"/>
  <c r="E18" i="2"/>
  <c r="E25" i="2"/>
  <c r="E21" i="2"/>
  <c r="E23" i="2"/>
  <c r="E19" i="2"/>
  <c r="E22" i="2"/>
  <c r="E27" i="2"/>
  <c r="E29" i="2"/>
  <c r="E24" i="2"/>
  <c r="E20" i="2"/>
  <c r="E26" i="2"/>
  <c r="E37" i="2"/>
  <c r="E36" i="2"/>
  <c r="E34" i="2"/>
  <c r="E35" i="2"/>
  <c r="D39" i="2"/>
  <c r="E38" i="2"/>
  <c r="E16" i="2"/>
  <c r="E39" i="4" l="1"/>
  <c r="F39" i="4" s="1"/>
  <c r="D16" i="4"/>
  <c r="D38" i="4" l="1"/>
  <c r="G39" i="4"/>
  <c r="H39" i="4" l="1"/>
  <c r="I39" i="4"/>
  <c r="F355" i="24"/>
  <c r="J122" i="36" s="1"/>
  <c r="J39" i="4" l="1"/>
  <c r="L39" i="4" s="1"/>
  <c r="K39" i="4"/>
  <c r="F342" i="24"/>
  <c r="J126" i="36" s="1"/>
  <c r="F492" i="24"/>
  <c r="J156" i="36" l="1"/>
</calcChain>
</file>

<file path=xl/sharedStrings.xml><?xml version="1.0" encoding="utf-8"?>
<sst xmlns="http://schemas.openxmlformats.org/spreadsheetml/2006/main" count="7974" uniqueCount="2503">
  <si>
    <t>PROCESSO Nº:</t>
  </si>
  <si>
    <t>OBRA:</t>
  </si>
  <si>
    <t>ENDEREÇO:</t>
  </si>
  <si>
    <t>BDI:</t>
  </si>
  <si>
    <t>MUNICÍPIO:</t>
  </si>
  <si>
    <t>Data:</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</si>
  <si>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</si>
  <si>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</si>
  <si>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</si>
  <si>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</si>
  <si>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</si>
  <si>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</si>
  <si>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</si>
  <si>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</si>
  <si>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</si>
  <si>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</si>
  <si>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</si>
  <si>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</si>
  <si>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</si>
  <si>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</si>
  <si>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</si>
  <si>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</si>
  <si>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</si>
  <si>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</si>
  <si>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</si>
  <si>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</si>
  <si>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</si>
  <si>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</si>
  <si>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</si>
  <si>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</si>
  <si>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</si>
  <si>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</si>
  <si>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</si>
  <si>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</si>
  <si>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</si>
  <si>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</si>
  <si>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</si>
  <si>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</si>
  <si>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</si>
  <si>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</si>
  <si>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</si>
  <si>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</si>
  <si>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</si>
  <si>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</si>
  <si>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</si>
  <si>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</si>
  <si>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DATA:   _____ / ____ /_____</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</si>
  <si>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</si>
  <si>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</si>
  <si>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</si>
  <si>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</si>
  <si>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</si>
  <si>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</si>
  <si>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</si>
  <si>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</si>
  <si>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</si>
  <si>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</si>
  <si>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</si>
  <si>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</si>
  <si>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</si>
  <si>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</si>
  <si>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</si>
  <si>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</si>
  <si>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</si>
  <si>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</si>
  <si>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</si>
  <si>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</si>
  <si>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</si>
  <si>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</si>
  <si>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</si>
  <si>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</si>
  <si>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</si>
  <si>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</si>
  <si>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</si>
  <si>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</si>
  <si>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</si>
  <si>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</si>
  <si>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</si>
  <si>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</si>
  <si>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</si>
  <si>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INSTALAÇÕES HIDRÁULICAS</t>
  </si>
  <si>
    <t>11.1</t>
  </si>
  <si>
    <t>11.2</t>
  </si>
  <si>
    <t>12.1</t>
  </si>
  <si>
    <t>12.2</t>
  </si>
  <si>
    <t>12.3</t>
  </si>
  <si>
    <t>12.4</t>
  </si>
  <si>
    <t>12.5</t>
  </si>
  <si>
    <t>13.1</t>
  </si>
  <si>
    <t>13.2</t>
  </si>
  <si>
    <t>13.3</t>
  </si>
  <si>
    <t>14.1</t>
  </si>
  <si>
    <t>PINTURA</t>
  </si>
  <si>
    <t>AUXILIAR DE ELETRICISTA COM ENCARGOS COMPLEMENTARES</t>
  </si>
  <si>
    <t>ELETRICISTA COM ENCARGOS COMPLEMENTARES</t>
  </si>
  <si>
    <t>Materiais</t>
  </si>
  <si>
    <t>QUADRO DE COTAÇÕES ( un  )</t>
  </si>
  <si>
    <t>Empresa</t>
  </si>
  <si>
    <t>valor</t>
  </si>
  <si>
    <t>CONTATO</t>
  </si>
  <si>
    <t>37.470.911/0001-92</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</si>
  <si>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</si>
  <si>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</si>
  <si>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</si>
  <si>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</si>
  <si>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</si>
  <si>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</si>
  <si>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</si>
  <si>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</si>
  <si>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</si>
  <si>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</si>
  <si>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</si>
  <si>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</si>
  <si>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</si>
  <si>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</si>
  <si>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</si>
  <si>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 xml:space="preserve"> Kátia F.  Kalix de Oliveira                                                                                                          Engenheira Civil                                                                                    CREA: 120.887.985-5                       </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</si>
  <si>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</si>
  <si>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</si>
  <si>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</si>
  <si>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</si>
  <si>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</si>
  <si>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</si>
  <si>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</si>
  <si>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</si>
  <si>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</si>
  <si>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</si>
  <si>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</si>
  <si>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SINFRA - SECRETARIA DE ESTADO DE INFRAESTRUTURA E LOGÍSTICA</t>
  </si>
  <si>
    <t>ENGENHEIRO CIVIL DE OBRA JUNIOR COM ENCARGOS COMPLEMENTARES</t>
  </si>
  <si>
    <t>COMP 02</t>
  </si>
  <si>
    <t>DATA:</t>
  </si>
  <si>
    <t xml:space="preserve">MEMÓRIA DE CÁLCULO </t>
  </si>
  <si>
    <t>COMP 03</t>
  </si>
  <si>
    <t>8.2</t>
  </si>
  <si>
    <t>8.3</t>
  </si>
  <si>
    <t xml:space="preserve">         Data:  ____ / ____ / _____.</t>
  </si>
  <si>
    <t>JANELA DE ALUMÍNIO MAXIM-AR, FIXAÇÃO COM PARAFUSO SOBRE CONTRAMARCO (EXCLUSIVE CONTRAMARCO), COM VIDROS, PADRONIZADA. AF_07/2016</t>
  </si>
  <si>
    <t>Referência</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</si>
  <si>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</si>
  <si>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</si>
  <si>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</si>
  <si>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</si>
  <si>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</si>
  <si>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</si>
  <si>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</si>
  <si>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</si>
  <si>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</si>
  <si>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</si>
  <si>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</si>
  <si>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</si>
  <si>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</si>
  <si>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</si>
  <si>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</si>
  <si>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</si>
  <si>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</si>
  <si>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</si>
  <si>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</si>
  <si>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VÁLVULA DE DESCARGA METÁLICA, BASE 1 1/2 ", ACABAMENTO METALICO CROMADO - FORNECIMENTO E INSTALAÇÃO. AF_01/2019</t>
  </si>
  <si>
    <t>CAIXA SIFONADA, PVC, DN 100 X 100 X 50 MM, JUNTA ELÁSTICA, FORNECIDA E INSTALADA EM RAMAL DE DESCARGA OU EM RAMAL DE ESGOTO SANITÁRIO. AF_12/2014_P</t>
  </si>
  <si>
    <t>TUBO PVC, SERIE NORMAL, ESGOTO PREDIAL, DN 100 MM, FORNECIDO E INSTALADO EM RAMAL DE DESCARGA OU RAMAL DE ESGOTO SANITÁRIO. AF_12/2014_P</t>
  </si>
  <si>
    <t>TUBO PVC, SERIE NORMAL, ESGOTO PREDIAL, DN 40 MM, FORNECIDO E INSTALADO EM RAMAL DE DESCARGA OU RAMAL DE ESGOTO SANITÁRIO. AF_12/2014_P</t>
  </si>
  <si>
    <t>TUBO PVC, SERIE NORMAL, ESGOTO PREDIAL, DN 50 MM, FORNECIDO E INSTALADO EM RAMAL DE DESCARGA OU RAMAL DE ESGOTO SANITÁRIO. AF_12/2014_P</t>
  </si>
  <si>
    <t>JOELHO 45 GRAUS, PVC, SERIE NORMAL, ESGOTO PREDIAL, DN 50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</si>
  <si>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</si>
  <si>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LIXA D'AGUA EM FOLHA, GRAO 100</t>
  </si>
  <si>
    <t>CIMENTO PORTLAND COMPOSTO CP II-32</t>
  </si>
  <si>
    <t>TIJOLO CERAMICO MACICO *5 X 10 X 20* CM</t>
  </si>
  <si>
    <t>3.4</t>
  </si>
  <si>
    <t>INTERRUPTOR SIMPLES (2 MÓDULOS), 10A/250V, INCLUINDO SUPORTE E PLACA - FORNECIMENTO E INSTALAÇÃO. AF_12/2015</t>
  </si>
  <si>
    <t>CAIXA RETANGULAR 4" X 2" BAIXA (0,30 M DO PISO), PVC, INSTALADA EM PAREDE - FORNECIMENTO E INSTALAÇÃO</t>
  </si>
  <si>
    <t>CAIXA RETANGULAR 4" X 2" ALTA (2,00 M DO PISO), PVC, INSTALADA EM PAREDE - FORNECIMENTO E INSTALAÇÃO. AF_12/2015</t>
  </si>
  <si>
    <t>LIXA EM FOLHA PARA PAREDE OU MADEIRA, NUMERO 120 (COR VERMELHA)</t>
  </si>
  <si>
    <t>3.5</t>
  </si>
  <si>
    <t>07.140.276/0001-14</t>
  </si>
  <si>
    <t>SHOP 10</t>
  </si>
  <si>
    <t>ADMINISTRAÇÃO LOCAL</t>
  </si>
  <si>
    <t>12.6</t>
  </si>
  <si>
    <t>12.7</t>
  </si>
  <si>
    <t>13.4</t>
  </si>
  <si>
    <t>16.3</t>
  </si>
  <si>
    <t>17.1</t>
  </si>
  <si>
    <t xml:space="preserve">Kátia Ferrer Kalix de Oliveira                                                                                                                                                                                                                                                                                                                                                                                                                               Engenheira Civil                                                                                                                                                                                                                                                                                         CREA:120.887.985-5        </t>
  </si>
  <si>
    <t xml:space="preserve"> Kátia F.  Kalix de Oliveira                                                                                                                                                                                                                                                                                                                                                                                                                                                         Engenheira Civil                                                                                                                                                                                                   CREA: 120.887.985-5                       </t>
  </si>
  <si>
    <t>Composição da Parcela de BDI (Bonificações e Despesas Indiretas) SEM DESONERAÇÃO - Obras e Serviços</t>
  </si>
  <si>
    <t>1.2</t>
  </si>
  <si>
    <t>1.3</t>
  </si>
  <si>
    <t>1.4</t>
  </si>
  <si>
    <t>1.5</t>
  </si>
  <si>
    <t>1.6</t>
  </si>
  <si>
    <t>1.7</t>
  </si>
  <si>
    <t>1.8</t>
  </si>
  <si>
    <t>2.5</t>
  </si>
  <si>
    <t>2.6</t>
  </si>
  <si>
    <t>2.7</t>
  </si>
  <si>
    <t>2.8</t>
  </si>
  <si>
    <t>2.9</t>
  </si>
  <si>
    <t>2.10</t>
  </si>
  <si>
    <t>2.11</t>
  </si>
  <si>
    <t>2.12</t>
  </si>
  <si>
    <t>2.13</t>
  </si>
  <si>
    <t>2.14</t>
  </si>
  <si>
    <t>2.15</t>
  </si>
  <si>
    <t>UND</t>
  </si>
  <si>
    <t>SECRETARIA ADJUNTA DAS CIDADES</t>
  </si>
  <si>
    <t>ENTRADA PROVISORIA DE ENERGIA ELETRICA AEREA TRIFASICA 40A EM POSTE MADEIRA</t>
  </si>
  <si>
    <t>MOVIMENTO DE TERRA</t>
  </si>
  <si>
    <t>REVESTIMENTO DE PISO</t>
  </si>
  <si>
    <t>REVESTIMENTO DE PAREDE</t>
  </si>
  <si>
    <t>12.8</t>
  </si>
  <si>
    <t>LIMPEZA DO TERRENO</t>
  </si>
  <si>
    <t>4.5</t>
  </si>
  <si>
    <t>4.1.2</t>
  </si>
  <si>
    <t>4.1.1</t>
  </si>
  <si>
    <t>4.1.3</t>
  </si>
  <si>
    <t>4.1.4</t>
  </si>
  <si>
    <t>4.1.6</t>
  </si>
  <si>
    <t>4.1.7</t>
  </si>
  <si>
    <t>VIGAS BALDRAMES</t>
  </si>
  <si>
    <t>4.1.8</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</si>
  <si>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</si>
  <si>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</si>
  <si>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</si>
  <si>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</si>
  <si>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</si>
  <si>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</si>
  <si>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</si>
  <si>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</si>
  <si>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</si>
  <si>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</si>
  <si>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</si>
  <si>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</si>
  <si>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</si>
  <si>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</si>
  <si>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</si>
  <si>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</si>
  <si>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</si>
  <si>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</si>
  <si>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</si>
  <si>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</si>
  <si>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</si>
  <si>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</si>
  <si>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</si>
  <si>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CABO DE COBRE FLEXÍVEL ISOLADO, 25 MM², ANTI-CHAMA 0,6/1,0 KV, PARA CIRCUITOS TERMINAIS - FORNECIMENTO E INSTALAÇÃO. AF_12/2015</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</si>
  <si>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</si>
  <si>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</si>
  <si>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DISJUNTOR BIPOLAR TIPO DIN, CORRENTE NOMINAL DE 10A - 5kA -FORNECIMENTO E INSTALAÇÃO</t>
  </si>
  <si>
    <t>DISJUNTOR TERMOMAGNETICO MONOPOLAR DIN 10A,10 kA FORNECIMENTO E INSTALACAO</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</si>
  <si>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</si>
  <si>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</si>
  <si>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</si>
  <si>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Patch panel 24 posições</t>
  </si>
  <si>
    <t>Caixa PVC 4x2"</t>
  </si>
  <si>
    <t>Interruptor tetrapolar DR (3 fases/neutro - In 30mA) - DIN 100 A</t>
  </si>
  <si>
    <t>JOELHO 90 GRAUS, PVC, SOLDÁVEL, DN 25MM, INSTALADO EM RAMAL DE DISTRIBUIÇÃO DE ÁGUA - FORNECIMENTO E INSTALAÇÃO. AF_12/2014</t>
  </si>
  <si>
    <t xml:space="preserve">JOELHO 90 GRAUS, PVC, SOLDÁVEL - ÁGUA FRIA, DN 50MM,FORNECIMENTO E INSTALAÇÃO. </t>
  </si>
  <si>
    <t>TUBO, PVC, SOLDÁVEL, DN 25MM, INSTALADO EM RAMAL OU SUB-RAMAL DE ÁGUA- FORNECIMENTO E INSTALAÇÃO. AF_12/2014</t>
  </si>
  <si>
    <t xml:space="preserve">TUBO, PVC, SOLDÁVEL, DN 50MM, FORNECIMENTO E INSTALAÇÃO. </t>
  </si>
  <si>
    <t>REGISTRO DE GAVETA BRUTO, LATÃO, ROSCÁVEL, 3/4", COM ACABAMENTO E CANOPLA CROMADOS. FORNECIDO E INSTALADO EM RAMAL DE ÁGUA. AF_12/2014</t>
  </si>
  <si>
    <t>REGISTRO DE ESFERA, PVC, ROSCÁVEL, 3/4", FORNECIDO E INSTALADO EM RAMAL DE ÁGUA. AF_03/2015</t>
  </si>
  <si>
    <t>LUVA SOLDÁVEL E COM ROSCA, PVC, SOLDÁVEL, DN 25MM X 3/4, INSTALADO EM RAMAL OU SUB-RAMAL DE ÁGUA - FORNECIMENTO E INSTALAÇÃO. AF_12/2014</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</si>
  <si>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</si>
  <si>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25MM X 3/4, INSTALADO EM RAMAL OU SUB-RAMAL DE ÁGUA - FORNECIMENTO E INSTALAÇÃO. AF_12/2014</t>
  </si>
  <si>
    <t>ADAPTADOR CURTO COM BOLSA E ROSCA PARA REGISTRO, PVC, SOLDÁVEL, DN 50MM X 1.1/2,FORNECIMENTO E INSTALAÇÃO.</t>
  </si>
  <si>
    <t xml:space="preserve">BUCHA DE REDUCAO DE PVC, SOLDAVEL, LONGA, COM 50 X 25 MM, PARA AGUA FRIA PREDIAL, FORNECIMENTO E INSTALAÇÃO. </t>
  </si>
  <si>
    <t>TÊ, PVC, SOLDÁVEL, DN 25MM, INSTALADO EM RAMAL OU SUB-RAMAL DE ÁGUA - FORNECIMENTO E INSTALAÇÃO. AF_12/2014</t>
  </si>
  <si>
    <t xml:space="preserve">TÊ, PVC, SOLDÁVEL, DN 50MM, FORNECIMENTO E INSTALAÇÃO. </t>
  </si>
  <si>
    <t>TÊ DE REDUÇÃO, PVC, SOLDÁVEL, DN 50MM X 25MM, FORNECIMENTO E INSTALAÇÃO.</t>
  </si>
  <si>
    <t>JOELHO 90 GRAUS COM BUCHA DE LATÃO, PVC, SOLDÁVEL, DN 25MM, X 3/4 INSTALADO EM RAMAL OU SUB-RAMAL DE ÁGUA - FORNECIMENTO E INSTALAÇÃO. AF_12/2014</t>
  </si>
  <si>
    <t>TORNEIRA CROMADA LONGA, DE PAREDE, 1/2" OU 3/4", PARA PIA DE COZINHA,PADRÃO POPULAR - FORNECIMENTO E INSTALAÇÃO. AF_12/2013</t>
  </si>
  <si>
    <t>TORNEIRA CROMADA DE MESA, 1/2" OU 3/4", PARA LAVATÓRIO, PADRÃO MÉDIO FORNECIMENTO E INSTALAÇÃO. AF_12/2013</t>
  </si>
  <si>
    <t>TORNEIRA CROMADA 1/2" OU 3/4" PARA TANQUE, PADRÃO MÉDIO - FORNECIMENTO E INSTALAÇÃO. AF_12/2013</t>
  </si>
  <si>
    <t>ENGATE FLEXÍVEL EM PLÁSTICO BRANCO, 1/2" X 30CM - FORNECIMENTO E INSTALAÇÃO. AF_12/2013</t>
  </si>
  <si>
    <t>CAIXA D'ÁGUA FIBRA DE VIDRO PARA 2.000 LITROS, COM TAMPA</t>
  </si>
  <si>
    <t>SERVIÇOS DE INSTALAÇÕES DE ESGOTO PREDIAL</t>
  </si>
  <si>
    <t>CAIXA SIFONADA, PVC, DN 150 X 150 X 50 MM, FORNECIDA E INSTALADA EM RAMAL DE DESCARGA OU EM RAMAL DE ESGOTO SANITÁRIO. AF_12/2014</t>
  </si>
  <si>
    <t>JOELHO 45 GRAUS, PVC, SERIE NORMAL, ESGOTO PREDIAL, DN 100 MM, JUNTA ELÁSTICA, FORNECIDO E INSTALADO EM RAMAL DE DESCARGA OU RAMAL DE ESGOTO SANITÁRIO. AF_12/2014</t>
  </si>
  <si>
    <t>JOELHO 90 GRAUS, PVC, SERIE NORMAL, ESGOTO PREDIAL, DN 50 MM, JUNTA ELÁSTICA, FORNECIDO E INSTALADO EM RAMAL DE DESCARGA OU RAMAL DE ESGOTOSANITÁRIO. AF_12/2014</t>
  </si>
  <si>
    <t>JOELHO 90 GRAUS, PVC, SERIE NORMAL, ESGOTO PREDIAL, DN 100 MM, JUNTA ELÁSTICA, FORNECIDO E INSTALADO EM RAMAL DE DESCARGA OU RAMAL DE ESGOTOSANITÁRIO.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</si>
  <si>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</si>
  <si>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</si>
  <si>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</si>
  <si>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</si>
  <si>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</si>
  <si>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</si>
  <si>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</si>
  <si>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</si>
  <si>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</si>
  <si>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</si>
  <si>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</si>
  <si>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</si>
  <si>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</si>
  <si>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</si>
  <si>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</si>
  <si>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</si>
  <si>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</si>
  <si>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</si>
  <si>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</si>
  <si>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</si>
  <si>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</si>
  <si>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</si>
  <si>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</si>
  <si>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</si>
  <si>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</si>
  <si>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</si>
  <si>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</si>
  <si>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</si>
  <si>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</si>
  <si>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</si>
  <si>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</si>
  <si>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</si>
  <si>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</si>
  <si>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</si>
  <si>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</si>
  <si>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</si>
  <si>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</si>
  <si>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</si>
  <si>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</si>
  <si>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</si>
  <si>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CARGA MANUAL DE ENTULHO EM CAÇAMBA BOTA FORA DE 6,00M³</t>
  </si>
  <si>
    <t>Volume gerado pela limpeza do terreno</t>
  </si>
  <si>
    <t>PERÍMETRO (M)</t>
  </si>
  <si>
    <t>3.0</t>
  </si>
  <si>
    <t>ESTRUTURA METÁLICA</t>
  </si>
  <si>
    <t>Área (m²)</t>
  </si>
  <si>
    <t>TOTAL GERAL</t>
  </si>
  <si>
    <t>COBERTURA</t>
  </si>
  <si>
    <t>ÁREA TOTAL</t>
  </si>
  <si>
    <t>Área total da esquadria em metro quadrado</t>
  </si>
  <si>
    <t xml:space="preserve">LARGURA </t>
  </si>
  <si>
    <t>ALTURA</t>
  </si>
  <si>
    <t>TOTAL (M²)</t>
  </si>
  <si>
    <t>P1</t>
  </si>
  <si>
    <t>P2</t>
  </si>
  <si>
    <t>P4</t>
  </si>
  <si>
    <t>P5</t>
  </si>
  <si>
    <t>J3</t>
  </si>
  <si>
    <t>TOTAL (M)</t>
  </si>
  <si>
    <t xml:space="preserve">ÁREA </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</si>
  <si>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</si>
  <si>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</si>
  <si>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</si>
  <si>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</si>
  <si>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</si>
  <si>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</si>
  <si>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</si>
  <si>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</si>
  <si>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</si>
  <si>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</si>
  <si>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 xml:space="preserve"> un</t>
  </si>
  <si>
    <t>UNID.</t>
  </si>
  <si>
    <t>QTDE</t>
  </si>
  <si>
    <t>CUSTO UNITÁRIO</t>
  </si>
  <si>
    <t>CUSTO TOTAL</t>
  </si>
  <si>
    <t>H</t>
  </si>
  <si>
    <t>AREIA MEDIA - POSTO JAZIDA/FORNECEDOR (RETIRADO NA JAZIDA, SEM TRANSPORTE)</t>
  </si>
  <si>
    <t>PEDRA BRITADA N. 2 (19 A 38 MM) POSTO PEDREIRA/FORNECEDOR, SEM FRETE</t>
  </si>
  <si>
    <t>FOSSA SÉPTICA PRÉ-MOLDADA, 90 X 90CM PARA 10 CONTRIBUINTES</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</si>
  <si>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</si>
  <si>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</si>
  <si>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</si>
  <si>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</si>
  <si>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 xml:space="preserve">CONTRAVERGA MOLDADA IN LOCO COM UTILIZAÇÃO DE BLOCOS CANALETA PARA VÃOS DE ATÉ 1,5 M DE COMPRIMENTO. AF_03/2016 </t>
  </si>
  <si>
    <t>CONTRAVERGA MOLDADA IN LOCO COM UTILIZAÇÃO DE BLOCOS CANALETA PARA VÃOS DE MAIS DE 1,5 M DE COMPRIMENTO. AF_03/2016</t>
  </si>
  <si>
    <t>SOLEIRA EM GRANITO, LARGURA 15 CM, ESPESSURA 2,0 CM. AF_06/2018</t>
  </si>
  <si>
    <t>CONCRETO FCK = 25MPA, TRAÇO 1:2,3:2,7 (CIMENTO/ AREIA MÉDIA/ BRITA 1)- PREPARO MECÂNICO COM BETONEIRA 400 L. AF_07/2016</t>
  </si>
  <si>
    <t>LANÇAMENTO COM USO DE BOMBA, ADENSAMENTO E ACABAMENTO DE CONCRETO EM ESTRUTURAS. AF_12/2015</t>
  </si>
  <si>
    <t>ARMAÇÃO DE BLOCO, VIGA BALDRAME E SAPATA UTILIZANDO AÇO CA-60 DE 5 MM- MONTAGEM. AF_06/2017</t>
  </si>
  <si>
    <t>FABRICAÇÃO, MONTAGEM E DESMONTAGEM DE FÔRMA PARA VIGA BALDRAME, EM MADEIRA SERRADA, E=25 MM, 4 UTILIZAÇÕES. AF_06/2017</t>
  </si>
  <si>
    <t>MONTAGEM E DESMONTAGEM DE FÔRMA DE VIGA, ESCORAMENTO COM GARFO DE MADEIRA, PÉ-DIREITO SIMPLES, EM CHAPA DE MADEIRA PLASTIFICADA, 18 UTILIZAÇÕES. AF_12/2015</t>
  </si>
  <si>
    <t>MONTAGEM E DESMONTAGEM DE FÔRMA DE PILARES RETANGULARES E ESTRUTURAS SIMILARES COM ÁREA MÉDIA DAS SEÇÕES MAIOR QUE 0,25 M², PÉ-DIREITO SIMPLES, EM CHAPA DE MADEIRA COMPENSADA PLASTIFICADA, 10 UTILIZAÇÕES. AF_1215</t>
  </si>
  <si>
    <t>ARMAÇÃO DE LAJE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</si>
  <si>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</si>
  <si>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</si>
  <si>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</si>
  <si>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</si>
  <si>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</si>
  <si>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</si>
  <si>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</si>
  <si>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</si>
  <si>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</si>
  <si>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</si>
  <si>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</si>
  <si>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</si>
  <si>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</si>
  <si>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</si>
  <si>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</si>
  <si>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</si>
  <si>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</si>
  <si>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</si>
  <si>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</si>
  <si>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</si>
  <si>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</si>
  <si>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</si>
  <si>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</si>
  <si>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ARMAÇÃO DE PILAR OU VIGA DE UMA ESTRUTURA CONVENCIONAL DE CONCRETO ARMADO EM UMA EDIFICAÇÃO TÉRREA OU SOBRADO UTILIZANDO AÇO CA-50 DE 12,5 M M - MONTAGEM. AF_12/2015</t>
  </si>
  <si>
    <t>ALVENARIA DE VEDAÇÃO DE BLOCOS CERÂMICOS MACIÇOS DE 5X10X20CM (ESPESSURA 10CM) E ARGAMASSA DE ASSENTAMENTO COM PREPARO EM BETONEIRA. AF_05/2020</t>
  </si>
  <si>
    <t>EXECUCAO DE DRENO FRANCES COM CASCALHO</t>
  </si>
  <si>
    <t>73883/002</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</si>
  <si>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</si>
  <si>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</si>
  <si>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</si>
  <si>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</si>
  <si>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</si>
  <si>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88239</t>
  </si>
  <si>
    <t>AJUDANTE DE CARPINTEIRO COM ENCARGOS COMPLEMENTARES</t>
  </si>
  <si>
    <t>88262</t>
  </si>
  <si>
    <t>88309</t>
  </si>
  <si>
    <t>88316</t>
  </si>
  <si>
    <t>COMP ESTR 03</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</si>
  <si>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</si>
  <si>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</si>
  <si>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</si>
  <si>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</si>
  <si>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</si>
  <si>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</si>
  <si>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</si>
  <si>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</si>
  <si>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</si>
  <si>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</si>
  <si>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</si>
  <si>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</si>
  <si>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</si>
  <si>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</si>
  <si>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</si>
  <si>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</si>
  <si>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</si>
  <si>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</si>
  <si>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</si>
  <si>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</si>
  <si>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</si>
  <si>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</si>
  <si>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</si>
  <si>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</si>
  <si>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</si>
  <si>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</si>
  <si>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</si>
  <si>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</si>
  <si>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</si>
  <si>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</si>
  <si>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</si>
  <si>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</si>
  <si>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</si>
  <si>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</si>
  <si>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</si>
  <si>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</si>
  <si>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</si>
  <si>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</si>
  <si>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</si>
  <si>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</si>
  <si>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COMP HIDR 23</t>
  </si>
  <si>
    <t xml:space="preserve">TE, PVC, SOLDÁVEL, DN 50MM, FORNECIMENTO E INSTALAÇÃO. </t>
  </si>
  <si>
    <t>TE SOLDAVEL, PVC, 90 GRAUS,50 MM, PARA AGUA FRIA PREDIAL (NBR 5648)</t>
  </si>
  <si>
    <t xml:space="preserve">Composição de referência para os coeficientes de consumo: 50.004.000001.SER- PINI/TCPO 14 </t>
  </si>
  <si>
    <t>SUPORTE EM MADEIRA E CAIXA DÁGUA INSTALADA EM LAJE - Detalhe 2,5 X 2,5 m</t>
  </si>
  <si>
    <t>Composição de referência para os coeficientes de consumo: C3352/SEINFRA-JAN/20</t>
  </si>
  <si>
    <t>TABUA DE MADEIRA APARELHADA *2,5 X 30* CM, MACARANDUBA, ANGELIM OU EQUIVALENTE DA REGIAO</t>
  </si>
  <si>
    <t>12 Vigas de 2,5 m = 30 m</t>
  </si>
  <si>
    <t>5 Tábuas de 2,5 m =12,5m</t>
  </si>
  <si>
    <t>VIGA DE MADEIRA APARELHADA *6 X 12* CM, MACARANDUBA, ANGELIM OU EQUIVALENTE DA REGIAO</t>
  </si>
  <si>
    <t xml:space="preserve">Área da Plataforma 2,5x2,5m = 6,25m² </t>
  </si>
  <si>
    <t>Pedreiro</t>
  </si>
  <si>
    <t xml:space="preserve">1 m² ------------ 0,25 h                                                                                                                                                                                                                                                                                                                                                                                                                                                                                                                                                                                                                                                                                                                                                                                                                              6,25 m² ---------------- x                                                                                                                                                                                                             x = 1,625 h                                                                                                                                                                                                                                                                                                                                                              </t>
  </si>
  <si>
    <t>Carpinteiro</t>
  </si>
  <si>
    <t xml:space="preserve">1 m² ------------ 0,08 h                                                                                                                                                                                                                                                                                                                                                                                                                                                                                                                                                                                                                                                                                                                                                                                                                              6,25 m² ---------------- x                                                                                                                                                                                                             x = 0,5 h                                                                                                                                                                                                                                                                                                                                                              </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</si>
  <si>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</si>
  <si>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</si>
  <si>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</si>
  <si>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</si>
  <si>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</si>
  <si>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</si>
  <si>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</si>
  <si>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</si>
  <si>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PLUGMAIS DISTRIB. - INFORM. E TELECOM. LTDA</t>
  </si>
  <si>
    <t>03.507.415/0022-79</t>
  </si>
  <si>
    <t>REDEDISTRIBUIDORA ELÉTRICA - ILUMINAÇÃO - SPDA - CFTV</t>
  </si>
  <si>
    <t>29.382.143/0001-97</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</si>
  <si>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</si>
  <si>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</si>
  <si>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</si>
  <si>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</si>
  <si>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</si>
  <si>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</si>
  <si>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</si>
  <si>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</si>
  <si>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</si>
  <si>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</si>
  <si>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</si>
  <si>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</si>
  <si>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!EM PROCESSO DE DESATIVACAO! HASTE DE ATERRAMENTO EM ACO COM 3,00 M DE COMPRIMENTO E DN = 5/8", REVESTIDA COM BAIXA CAMADA DE COBRE, COM CONECTOR TIPO GRAMPO</t>
  </si>
  <si>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</si>
  <si>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</si>
  <si>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</si>
  <si>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</si>
  <si>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</si>
  <si>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</si>
  <si>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</si>
  <si>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</si>
  <si>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</si>
  <si>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</si>
  <si>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</si>
  <si>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</si>
  <si>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</si>
  <si>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</si>
  <si>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</si>
  <si>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</si>
  <si>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</si>
  <si>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</si>
  <si>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</si>
  <si>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</si>
  <si>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</si>
  <si>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</si>
  <si>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</si>
  <si>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</si>
  <si>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</si>
  <si>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</si>
  <si>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</si>
  <si>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</si>
  <si>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</si>
  <si>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</si>
  <si>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</si>
  <si>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</si>
  <si>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</si>
  <si>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</si>
  <si>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!EM PROCESSO DE DESATIVACAO! HASTE DE ATERRAMENTO EM ACO COM 3,00 M DE COMPRIMENTO E DN = 5/8", REVESTIDA COM BAIXA CAMADA DE COBRE, SEM CONECTOR</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</si>
  <si>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</si>
  <si>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</si>
  <si>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</si>
  <si>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</si>
  <si>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</si>
  <si>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</si>
  <si>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</si>
  <si>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</si>
  <si>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</si>
  <si>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</si>
  <si>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</si>
  <si>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</si>
  <si>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APLICAÇÃO MANUAL DE MASSA ACRÍLICA PARA PAREDES INTERNAS, DUAS DEMÃOS.</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</si>
  <si>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</si>
  <si>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</si>
  <si>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</si>
  <si>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</si>
  <si>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</si>
  <si>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</si>
  <si>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</si>
  <si>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</si>
  <si>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</si>
  <si>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</si>
  <si>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</si>
  <si>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</si>
  <si>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</si>
  <si>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</si>
  <si>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CORTE E DOBRA DE AÇO CA-60, DIÂMETRO DE 5,0 MM, UTILIZADO EM LAJE. AF_12/2015</t>
  </si>
  <si>
    <t>LASTRO DE CONCRETO MAGRO, APLICADO EM PISOS OU RADIERS, ESPESSURA DE 5CM. AF_07/2016</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</si>
  <si>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</si>
  <si>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</si>
  <si>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SEM VÃOS E ARGAMASSA DE ASSENTAMENTO COM PREPARO EM BETONEIRA. AF_06/2014</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</si>
  <si>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</si>
  <si>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</si>
  <si>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</si>
  <si>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</si>
  <si>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</si>
  <si>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</si>
  <si>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</si>
  <si>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</si>
  <si>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</si>
  <si>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</si>
  <si>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</si>
  <si>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</si>
  <si>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</si>
  <si>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</si>
  <si>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</si>
  <si>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</si>
  <si>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</si>
  <si>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</si>
  <si>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</si>
  <si>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</si>
  <si>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</si>
  <si>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</si>
  <si>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</si>
  <si>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</si>
  <si>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</si>
  <si>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</si>
  <si>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</si>
  <si>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</si>
  <si>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</si>
  <si>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</si>
  <si>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</si>
  <si>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</si>
  <si>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</si>
  <si>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</si>
  <si>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</si>
  <si>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MONTAGEM DE ARMADURA TRANSVERSAL DE ESTACAS DE SEÇÃO CIRCULAR, DIÂMETRO = 5,0 MM. AF_11/2016</t>
  </si>
  <si>
    <t>MONTAGEM DE ARMADURA LONGITUDINAL DE ESTACAS DE SEÇÃO CIRCULAR, DIÂMETRO = 10,0 MM. AF_11/2016</t>
  </si>
  <si>
    <t>MONTAGEM E DESMONTAGEM DE FÔRMA DE PILARES RETANGULARES E ESTRUTURAS SIMILARES COM ÁREA MÉDIA DAS SEÇÕES MAIOR QUE 0,25 M², PÉ-DIREITO SIMPLES,  EM CHAPA DE MADEIRA COMPENSADA RESINADA, 8 UTILIZAÇÕES. AF_12/2015</t>
  </si>
  <si>
    <t>VIGAS DE RESPALDO</t>
  </si>
  <si>
    <t>EMBOÇO OU MASSA ÚNICA EM ARGAMASSA TRAÇO 1:2:8, PREPARO MANUAL, APLICADA MANUALMENTE EM PANOS CEGOS DE FACHADA (SEM PRESENÇA DE VÃOS), ESPESSURA DE 25 MM. AF_06/2014</t>
  </si>
  <si>
    <t>COMP 19</t>
  </si>
  <si>
    <t>LIMPEZA DE SUPERFÍCIE COM JATO DE ALTA PRESSÃO. AF_04/2019</t>
  </si>
  <si>
    <t>ADAPTADOR COM FLANGE E ANEL DE VEDAÇÃO, PVC, SOLDÁVEL, DN  25 MM X 3/4  , INSTALADO EM RESERVAÇÃO DE ÁGUA DE EDIFICAÇÃO QUE POSSUA RESERVATÓRIO</t>
  </si>
  <si>
    <t xml:space="preserve">CONSTRUÇÃO </t>
  </si>
  <si>
    <t>PLACA DE OBRA EM CHAPA GALVANIZADA</t>
  </si>
  <si>
    <t>ESTACIONAMENTO</t>
  </si>
  <si>
    <t>PERÍMETRO</t>
  </si>
  <si>
    <t>ÁREA</t>
  </si>
  <si>
    <t>1,40m*44un=61,60m</t>
  </si>
  <si>
    <t>Profundidade da estaca=1,40m</t>
  </si>
  <si>
    <t>CHAPISCO APLICADO EM ALVENARIAS E ESTRUTURAS DE CONCRETO INTERNAS, COM COLHER DE PEDREIRO. ARGAMASSA TRAÇO 1:3 COM PREPARO EM BETONEIRA 400L. AF_06/2014</t>
  </si>
  <si>
    <t>Composição de referência para os coeficientes de consumo: 83878/SINAPI - JAN/20</t>
  </si>
  <si>
    <t>364778/2019</t>
  </si>
  <si>
    <t>TANGARÁ DA SERRA - MT</t>
  </si>
  <si>
    <t>CONSTRUÇÃO DAS SEDES DAS DIRETORIAS DE UNIDADE DESCONCENTRADA DA SEMA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</si>
  <si>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</si>
  <si>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</si>
  <si>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</si>
  <si>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</si>
  <si>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</si>
  <si>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</si>
  <si>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</si>
  <si>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</si>
  <si>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</si>
  <si>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</si>
  <si>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</si>
  <si>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</si>
  <si>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</si>
  <si>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</si>
  <si>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</si>
  <si>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REGULARIZAÇÃO DE LAJE - CAIMENTO PARA ESCOAMENTO DA ÁGUA INCL. 2%</t>
  </si>
  <si>
    <t>P6</t>
  </si>
  <si>
    <t>PORTÃO DE CORRER DE UMA FOLHA - ELÉTRICO</t>
  </si>
  <si>
    <t>P9</t>
  </si>
  <si>
    <t>PORTÃO DE CORRER DUAS FOLHAS - ELÉTRICO</t>
  </si>
  <si>
    <t>P10</t>
  </si>
  <si>
    <t xml:space="preserve">REQUADRO DE GRANITO BRANCO SIENA PARA A ÁREA DO JARDIM </t>
  </si>
  <si>
    <t>14.4</t>
  </si>
  <si>
    <t>14.5</t>
  </si>
  <si>
    <t>14.6</t>
  </si>
  <si>
    <t>14.7</t>
  </si>
  <si>
    <t>14.8</t>
  </si>
  <si>
    <t>14.9</t>
  </si>
  <si>
    <t>SERVIÇOS CONSTRUTIVOS COMPLEMENTARES</t>
  </si>
  <si>
    <t>CALÇADA EM CONCRETO MOLDADO IN LOCO ESPESSURA 7CM E RAMPA</t>
  </si>
  <si>
    <t>Conforme Projeto de cada Unidade</t>
  </si>
  <si>
    <t>FORNECIMENTO E ESPALHAMENTO DE TERRA VEGETAL, ESPESSURA 5CM</t>
  </si>
  <si>
    <t>Pátio Externo + Jardim Interno</t>
  </si>
  <si>
    <t>Quantitativos retirados do Projeto Arquitetônico</t>
  </si>
  <si>
    <t>FORNECIMENTO DE GRAMA ESMERALDA</t>
  </si>
  <si>
    <t>Pátio Externo</t>
  </si>
  <si>
    <t>FORNECIMENTO E PLANTIO DE FORROÇÃO (SINGÔNIO) - JARDIM INTERNO</t>
  </si>
  <si>
    <t>Pátio Interno</t>
  </si>
  <si>
    <t>FORNECIMENTO E PLANTIO DE ÁRVORE ORNAMENTAL - IPE</t>
  </si>
  <si>
    <t>UNIDADES (TOTAL)</t>
  </si>
  <si>
    <t>Pátio externo + Patio Interno</t>
  </si>
  <si>
    <t>FORNECIMENTO E PLANTIO DE ÁRVORE ORNAMENTAL - OITI</t>
  </si>
  <si>
    <t>MURETA DE ALVENARIA PARA RECEBIMENTO DE GRADIL - ALTURA 40CM</t>
  </si>
  <si>
    <t>PERIM. TOTAL</t>
  </si>
  <si>
    <t>DESC. DE VÃOS</t>
  </si>
  <si>
    <t>CHAPISCO TRAÇO 1:3 - MURETA</t>
  </si>
  <si>
    <t>REBOCO TRAÇO 1:2:8 - MURETA</t>
  </si>
  <si>
    <t>SELADOR ACRÍLICO 01 DEMÃO - MURETA</t>
  </si>
  <si>
    <t>TEXTURA ACRÍLICA - MURETA</t>
  </si>
  <si>
    <t xml:space="preserve">FECHAMENTO EM GRADIL EM AÇO GALAVANIZADO PRÉ PINTADO </t>
  </si>
  <si>
    <t>PISO INTERTRAVADO RETANGULAR - ESPESSURA 8CM</t>
  </si>
  <si>
    <t>DEMARCAÇÃO DE PISO (SÍMBOLO CADEIRANTE)</t>
  </si>
  <si>
    <t>Consta no Projeto Arquitetônico duas vagas para PNE</t>
  </si>
  <si>
    <t>DEMARCAÇÃO DE PISO (PINTURA ESTACIONAMENTO)</t>
  </si>
  <si>
    <t xml:space="preserve">PERÍMETRO </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</si>
  <si>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</si>
  <si>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</si>
  <si>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</si>
  <si>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</si>
  <si>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</si>
  <si>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</si>
  <si>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</si>
  <si>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LETRA CAIXA</t>
  </si>
  <si>
    <t>ALTURA (CM)</t>
  </si>
  <si>
    <t xml:space="preserve">LISTA DE MATERIAIS </t>
  </si>
  <si>
    <t>16 pç</t>
  </si>
  <si>
    <t>Condulete PVC encaixe tipo C 3/4"</t>
  </si>
  <si>
    <t>23 pç</t>
  </si>
  <si>
    <t>Condulete PVC encaixe tipo LR 1"</t>
  </si>
  <si>
    <t>Condulete PVC encaixe tipo LR 3/4"</t>
  </si>
  <si>
    <t>Condulete PVC encaixe tipo T 1"</t>
  </si>
  <si>
    <t>Luva PVC encaixe 3/4"</t>
  </si>
  <si>
    <t>5 pç</t>
  </si>
  <si>
    <t>Rasgo em Alvenaria até 40mm</t>
  </si>
  <si>
    <t>19 pç</t>
  </si>
  <si>
    <t>32 pç</t>
  </si>
  <si>
    <t>Interruptor 1 tecla paralela e tomada hexagonal (NBR14136) S/ placa</t>
  </si>
  <si>
    <t>Interruptor 1 tecla simples e tomada hexagonal (NBR14136) S/ placa</t>
  </si>
  <si>
    <t>Interruptor 2 teclas - simples e paralela separadas S/ placa</t>
  </si>
  <si>
    <t>Relé fotoelétrico 127V - 1200W resistivo c/ fotocélula</t>
  </si>
  <si>
    <t>Disjuntor bipolar termomagnético (220 V/127 V) - DIN   10 A - 5 kA</t>
  </si>
  <si>
    <t>26 pç</t>
  </si>
  <si>
    <t>15.9 m</t>
  </si>
  <si>
    <t>10 m</t>
  </si>
  <si>
    <t>Luminária embutir p/ fluoresc. Tubular 4x20 W</t>
  </si>
  <si>
    <t>Refletores 10W</t>
  </si>
  <si>
    <t>Refletores 50W</t>
  </si>
  <si>
    <t>3 pç</t>
  </si>
  <si>
    <t>92 pç</t>
  </si>
  <si>
    <t xml:space="preserve">CABEAMENTO ESTRUTURADO </t>
  </si>
  <si>
    <t>Conector RJ45 (CM8v)</t>
  </si>
  <si>
    <t>Switch (10/100)BaseTX + (1000)Base T (24 + 2) portas</t>
  </si>
  <si>
    <t>Guia de cabos aberto 1U</t>
  </si>
  <si>
    <t>Guia de cabos simples P/ Rack aberto 19"</t>
  </si>
  <si>
    <t>Guias de cabos vertical P/ Rack aberto 19"</t>
  </si>
  <si>
    <t>Condulete alum. encaixe tipo C 1" sem tampa</t>
  </si>
  <si>
    <t>Caixa de passagem - embutir Alvenaria 400x400x400mm</t>
  </si>
  <si>
    <t>31 pç</t>
  </si>
  <si>
    <t>15.5 m</t>
  </si>
  <si>
    <t>Rack Aberto padrão - 19" 12U</t>
  </si>
  <si>
    <t>Caixa de inspeção PVC - Ø250x250mm</t>
  </si>
  <si>
    <t>Haste de aterramento - cobreada 3/4" x 2,40m</t>
  </si>
  <si>
    <t>Haste de aterramento - cobreada 3/4" x 3,00m</t>
  </si>
  <si>
    <t>Cabo de cobre Nú - 7 fios 25mm²</t>
  </si>
  <si>
    <t>Cabo de cobre Nú - 7 fios 35mm²</t>
  </si>
  <si>
    <t>Cabo de cobre Nú - 7 fios 50mm²</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</si>
  <si>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</si>
  <si>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</si>
  <si>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</si>
  <si>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</si>
  <si>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</si>
  <si>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</si>
  <si>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</si>
  <si>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</si>
  <si>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</si>
  <si>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</si>
  <si>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</si>
  <si>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</si>
  <si>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</si>
  <si>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</si>
  <si>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</si>
  <si>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</si>
  <si>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</si>
  <si>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</si>
  <si>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</si>
  <si>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</si>
  <si>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</si>
  <si>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</si>
  <si>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</si>
  <si>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</si>
  <si>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</si>
  <si>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</si>
  <si>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</si>
  <si>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</si>
  <si>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</si>
  <si>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</si>
  <si>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</si>
  <si>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</si>
  <si>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</si>
  <si>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</si>
  <si>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</si>
  <si>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</si>
  <si>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</si>
  <si>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</si>
  <si>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</si>
  <si>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</si>
  <si>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</si>
  <si>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</si>
  <si>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Composição de referência para os coeficientes de consumo: 02.02.085/FDE-FEV/2021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</si>
  <si>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</si>
  <si>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</si>
  <si>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</si>
  <si>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</si>
  <si>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</si>
  <si>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</si>
  <si>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10 mm</t>
  </si>
  <si>
    <t>CORTE E DOBRA DE AÇO CA-50, DIÂMETRO DE 10,0 MM, UTILIZADO EM ESTRUTURAS DIVERSAS, EXCETO LAJES. AF_12/2015</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</si>
  <si>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</si>
  <si>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</si>
  <si>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</si>
  <si>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</si>
  <si>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ELETRODUTO FLEXÍVEL CORRUGADO, PEAD, DN 50 (11/2") - FORNECIMENTO E INSTALAÇÃO. AF_04/2016</t>
  </si>
  <si>
    <t>TRANSPORTE E ATERRO INTERNO DE MATERIAL ESCAVADO DE FUNDAÇÃO - ESTACA - TUBULÃO</t>
  </si>
  <si>
    <t>COMP ESTR 04</t>
  </si>
  <si>
    <t>4.4.6</t>
  </si>
  <si>
    <t>4.4.8</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</si>
  <si>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</si>
  <si>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12,5 MM - MONTAGEM. AF_12/2015</t>
  </si>
  <si>
    <t>4.5.8</t>
  </si>
  <si>
    <t>4.5.9</t>
  </si>
  <si>
    <t>4.5.10</t>
  </si>
  <si>
    <t>ARMAÇÃO DE PILAR OU VIGA DE UMA ESTRUTURA CONVENCIONAL DE CONCRETO ARMADO EM UMA EDIFICAÇÃO TÉRREA OU SOBRADO UTILIZANDO AÇO CA-50 DE 20,0 MM - MONTAGEM. AF_12/2015</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</si>
  <si>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</si>
  <si>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</si>
  <si>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</si>
  <si>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</si>
  <si>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</si>
  <si>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</si>
  <si>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</si>
  <si>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</si>
  <si>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</si>
  <si>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</si>
  <si>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</si>
  <si>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</si>
  <si>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</si>
  <si>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</si>
  <si>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</si>
  <si>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</si>
  <si>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</si>
  <si>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</si>
  <si>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</si>
  <si>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</si>
  <si>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</si>
  <si>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</si>
  <si>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</si>
  <si>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</si>
  <si>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</si>
  <si>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</si>
  <si>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</si>
  <si>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</si>
  <si>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</si>
  <si>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</si>
  <si>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</si>
  <si>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</si>
  <si>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</si>
  <si>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</si>
  <si>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</si>
  <si>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</si>
  <si>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</si>
  <si>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</si>
  <si>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</si>
  <si>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</si>
  <si>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</si>
  <si>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</si>
  <si>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</si>
  <si>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</si>
  <si>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</si>
  <si>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</si>
  <si>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</si>
  <si>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</si>
  <si>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</si>
  <si>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</si>
  <si>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</si>
  <si>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</si>
  <si>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</si>
  <si>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</si>
  <si>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</si>
  <si>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</si>
  <si>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</si>
  <si>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</si>
  <si>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</si>
  <si>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</si>
  <si>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</si>
  <si>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</si>
  <si>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</si>
  <si>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</si>
  <si>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</si>
  <si>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</si>
  <si>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</si>
  <si>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</si>
  <si>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</si>
  <si>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</si>
  <si>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</si>
  <si>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</si>
  <si>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</si>
  <si>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</si>
  <si>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</si>
  <si>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</si>
  <si>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</si>
  <si>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</si>
  <si>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</si>
  <si>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</si>
  <si>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</si>
  <si>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</si>
  <si>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</si>
  <si>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</si>
  <si>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</si>
  <si>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</si>
  <si>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</si>
  <si>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</si>
  <si>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</si>
  <si>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</si>
  <si>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</si>
  <si>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</si>
  <si>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</si>
  <si>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</si>
  <si>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</si>
  <si>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</si>
  <si>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</si>
  <si>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</si>
  <si>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</si>
  <si>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</si>
  <si>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</si>
  <si>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</si>
  <si>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</si>
  <si>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</si>
  <si>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</si>
  <si>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</si>
  <si>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</si>
  <si>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</si>
  <si>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</si>
  <si>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</si>
  <si>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</si>
  <si>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</si>
  <si>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</si>
  <si>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</si>
  <si>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</si>
  <si>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</si>
  <si>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</si>
  <si>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</si>
  <si>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</si>
  <si>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5.3</t>
  </si>
  <si>
    <t>5.4</t>
  </si>
  <si>
    <t>5.5</t>
  </si>
  <si>
    <t>5.6</t>
  </si>
  <si>
    <t>5.7</t>
  </si>
  <si>
    <t>5.8</t>
  </si>
  <si>
    <t>5.9</t>
  </si>
  <si>
    <t>6.3</t>
  </si>
  <si>
    <t>6.4</t>
  </si>
  <si>
    <t>6.5</t>
  </si>
  <si>
    <t>6.6</t>
  </si>
  <si>
    <t>6.7</t>
  </si>
  <si>
    <t>9.2.3</t>
  </si>
  <si>
    <t>9.1.3</t>
  </si>
  <si>
    <t>9.1.4</t>
  </si>
  <si>
    <t>9.1.5</t>
  </si>
  <si>
    <t>ANDREIA ARAGÃO</t>
  </si>
  <si>
    <t>PEDRO SANTO</t>
  </si>
  <si>
    <t>RENAN PARIS</t>
  </si>
  <si>
    <t>MURILO REBELATO</t>
  </si>
  <si>
    <t>ADELMO</t>
  </si>
  <si>
    <t>LAJES MACIÇAS</t>
  </si>
  <si>
    <t>LAJES PRE MOLDADAS</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</si>
  <si>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</si>
  <si>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</si>
  <si>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</si>
  <si>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</si>
  <si>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</si>
  <si>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</si>
  <si>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</si>
  <si>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</si>
  <si>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</si>
  <si>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</si>
  <si>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</si>
  <si>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</si>
  <si>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</si>
  <si>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</si>
  <si>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</si>
  <si>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</si>
  <si>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</si>
  <si>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</si>
  <si>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</si>
  <si>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</si>
  <si>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</si>
  <si>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SOLVENTE DILUENTE A BASE DE AGUARRAS</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</si>
  <si>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</si>
  <si>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</si>
  <si>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</si>
  <si>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</si>
  <si>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</si>
  <si>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</si>
  <si>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</si>
  <si>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</si>
  <si>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</si>
  <si>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</si>
  <si>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WALSYWA - (19)3948-5230</t>
  </si>
  <si>
    <t>05.896.435/0005-03</t>
  </si>
  <si>
    <t>THAYANE</t>
  </si>
  <si>
    <t>O valor total de 437,29 (incluso impostos e fretes) foi dividido pela quantidade 200 para chegar ao valor unitário</t>
  </si>
  <si>
    <t>A COTAÇÃO FOI FEITA DIRETAMENTE NO FABRICANTE, AS EMPRESAS DO MERCADO LOCAL NÃO POSSUEM O CHUMBADOR ESPECIFICADO NO PROJETO</t>
  </si>
  <si>
    <t>COMP ESTR 07</t>
  </si>
  <si>
    <t>COMP ESTR 08</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</si>
  <si>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</si>
  <si>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</si>
  <si>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</si>
  <si>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</si>
  <si>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</si>
  <si>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</si>
  <si>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</si>
  <si>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</si>
  <si>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</si>
  <si>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</si>
  <si>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17.2.5</t>
  </si>
  <si>
    <t>17.2.6</t>
  </si>
  <si>
    <t>17.2.7</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</si>
  <si>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</si>
  <si>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</si>
  <si>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</si>
  <si>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</si>
  <si>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</si>
  <si>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</si>
  <si>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</si>
  <si>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</si>
  <si>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</si>
  <si>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</si>
  <si>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</si>
  <si>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</si>
  <si>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</si>
  <si>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</si>
  <si>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</si>
  <si>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</si>
  <si>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</si>
  <si>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</si>
  <si>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</si>
  <si>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</si>
  <si>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</si>
  <si>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</si>
  <si>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</si>
  <si>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</si>
  <si>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</si>
  <si>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</si>
  <si>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</si>
  <si>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</si>
  <si>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</si>
  <si>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</si>
  <si>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</si>
  <si>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</si>
  <si>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</si>
  <si>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</si>
  <si>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 xml:space="preserve">PORTA EM ALUMÍNIO ANODIZADO DE ABRIR, 2 FOLHAS, PARA VIDRO COM GUARNIÇÃO, 1,30X210CM, FIXAÇÃO COM PARAFUSOS, INCLUSIVE VIDROS - FORNECIMENTO E INSTALAÇÃO. </t>
  </si>
  <si>
    <t>18.7</t>
  </si>
  <si>
    <t>18.8</t>
  </si>
  <si>
    <t>18.9</t>
  </si>
  <si>
    <t>18.10</t>
  </si>
  <si>
    <t>18.12</t>
  </si>
  <si>
    <t>18.13</t>
  </si>
  <si>
    <t>COMP 05</t>
  </si>
  <si>
    <t xml:space="preserve">PORTA EM ALUMÍNIO ANODIZADO DE ABRIR, 2 FOLHAS, PARA VIDRO COM GUARNIÇÃO, INCLUSIVE VIDROS - FORNECIMENTO E INSTALAÇÃO. </t>
  </si>
  <si>
    <t>Composição de referência para os coeficientes de consumo: 1821/ORSE-DEZ/2020</t>
  </si>
  <si>
    <t>1 m² ------- 1,0 h                                 2,73 m² ------- X h                                              X = 2,73 h</t>
  </si>
  <si>
    <t xml:space="preserve">1 m² ------- 1,5 h                                           2,73 m² --------  X h                                                         X =   0,000819    </t>
  </si>
  <si>
    <t>ARGAMASSA -1m² --------- 0,003 m³                                                                                                                                                                                                                                                                                                                             2,73 m² ---------- X m³                                                                                         X  = 0,00819m³</t>
  </si>
  <si>
    <t xml:space="preserve">PORTA EM MADEIRA LISA COMUM, ENCABEÇADA DE CORRER COM TRILHO DE ALUMÍNIO - FORNECIMENTO E INSTALAÇÃO. </t>
  </si>
  <si>
    <t>FORNECIMENTO E INSTALAÇÃO DE MOTOR PARA ACIONAMENTO ELÉTRICO DE PORTÃO COM DOIS CONTROLES REMOTOS</t>
  </si>
  <si>
    <t>FORNECIMENTO E INSTALAÇÃO MOTOR PARA ACIONAMENTO ELÉTRICO DE PORTÃO COM DOIS CONTROLES REMOTOS</t>
  </si>
  <si>
    <t xml:space="preserve">P3 </t>
  </si>
  <si>
    <t>PARA FIXAR EM PORTA MADEIRA P4</t>
  </si>
  <si>
    <t xml:space="preserve">FORNECIMENTO E INSTALAÇÃO DE MOTOR PARA ACIONAMENTO ELÉTRICO DE PORTÃO </t>
  </si>
  <si>
    <t>PORTA DE ABRIR DE FERRO EM CHAPA CORRUGADA, COM DUAS FOLHAS, DE 1,60X2,10 M</t>
  </si>
  <si>
    <r>
      <t>PORTA DE ABRIR DE FERRO EM CHAPA CORRUGADA, 2 FOLHAS</t>
    </r>
    <r>
      <rPr>
        <sz val="11"/>
        <color rgb="FFFF0000"/>
        <rFont val="Arial"/>
        <family val="2"/>
      </rPr>
      <t xml:space="preserve">, </t>
    </r>
    <r>
      <rPr>
        <sz val="11"/>
        <rFont val="Arial"/>
        <family val="2"/>
      </rPr>
      <t>DE 1,60X2,10 M</t>
    </r>
  </si>
  <si>
    <t>33,36 - 3,36=30m</t>
  </si>
  <si>
    <t>57,30 - 23 = 34,30</t>
  </si>
  <si>
    <t>5.10</t>
  </si>
  <si>
    <t>5.11</t>
  </si>
  <si>
    <t>(COMPOSIÇÃO REPRESENTATIVA) DO SERVIÇO DE CONTRAPISO EM ARGAMASSA TRAÇO 1:4 (CIM E AREIA), EM BETONEIRA 400 L, ESPESSURA 3 CM ÁREAS SECAS E 3 CM ÁREAS MOLHADAS, PARA EDIFICAÇÃO HABITACIONAL UNIFAMILIAR (CASA) EEDIFICAÇÃO PÚBLICA PADRÃO. AF_11/2014</t>
  </si>
  <si>
    <t>APILOAMENTO DE SOLO, PARA RECEBIMENTO DE LASTRO, COM MAÇO DE 30KG</t>
  </si>
  <si>
    <t>Composição de referência para os coeficientes de consumo: 17 4000100/AGESUL - JAN/21</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</si>
  <si>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</si>
  <si>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</si>
  <si>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</si>
  <si>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</si>
  <si>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</si>
  <si>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</si>
  <si>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</si>
  <si>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</si>
  <si>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VERGA MOLDADA IN LOCO COM UTILIZAÇÃO DE BLOCOS CANALETA PARA JANELAS COM MAIS DE 1,5 M DE VÃO. AF_03/2016</t>
  </si>
  <si>
    <t>ALVENARIA DE VEDAÇÃO COM ELEMENTO VAZADO DE CONCRETO (COBOGÓ) DE 7X50X50CM E ARGAMASSA DE ASSENTAMENTO COM PREPARO EM BETONEIRA. AF_05/2020</t>
  </si>
  <si>
    <t>SE PARA</t>
  </si>
  <si>
    <t>H= 0,07m -------- 0,188 m²                                                                                 H=0,15m ------- X                                                                                                                      X = 0,4028 m²</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</si>
  <si>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</si>
  <si>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</si>
  <si>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</si>
  <si>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</si>
  <si>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</si>
  <si>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</si>
  <si>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</si>
  <si>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</si>
  <si>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</si>
  <si>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</si>
  <si>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</si>
  <si>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</si>
  <si>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</si>
  <si>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</si>
  <si>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</si>
  <si>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</si>
  <si>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</si>
  <si>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MOLDURA CANTONEIRA EM ALUMÍNIO PERFIL L - 3/4"X3/4"X1/8"</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</si>
  <si>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</si>
  <si>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</si>
  <si>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</si>
  <si>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</si>
  <si>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</si>
  <si>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</si>
  <si>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</si>
  <si>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</si>
  <si>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</si>
  <si>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</si>
  <si>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</si>
  <si>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</si>
  <si>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</si>
  <si>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</si>
  <si>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</si>
  <si>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</si>
  <si>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</si>
  <si>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</si>
  <si>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Composição de referência para os coeficientes de consumo:</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</si>
  <si>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</si>
  <si>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</si>
  <si>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</si>
  <si>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</si>
  <si>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</si>
  <si>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</si>
  <si>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</si>
  <si>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</si>
  <si>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</si>
  <si>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</si>
  <si>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</si>
  <si>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 xml:space="preserve"> FONTE: SINAPI MAI/2021(SEM DESONERAÇÃO)</t>
  </si>
  <si>
    <t>GUIA DE CABOS SIMPLES PARA RACK ABERTO 19"</t>
  </si>
  <si>
    <t>GUIA DE CABOS ABERTO 1U</t>
  </si>
  <si>
    <t>GUIA DE CABOS VERTICAL PARA RACK ABERTO 19"</t>
  </si>
  <si>
    <t>GUIA DE CABOS ABERTO 1 U</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</si>
  <si>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</si>
  <si>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</si>
  <si>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</si>
  <si>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</si>
  <si>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</si>
  <si>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</si>
  <si>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</si>
  <si>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</si>
  <si>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</si>
  <si>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</si>
  <si>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</si>
  <si>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</si>
  <si>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</si>
  <si>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</si>
  <si>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</si>
  <si>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18</t>
  </si>
  <si>
    <t>COMP ELE 16</t>
  </si>
  <si>
    <t>CABO ELETRÔNICO CATEGORIA 5E, INSTALADO EM EDIFICAÇÃO INSTITUCIONAL - FORNECIMENTO E INSTALAÇÃO. AF_11/2019</t>
  </si>
  <si>
    <t>UTP - 5E</t>
  </si>
  <si>
    <t>CABEAMENTO</t>
  </si>
  <si>
    <t>BAIXA TENSÃO</t>
  </si>
  <si>
    <t>Composição de referência para os coeficientes de consumo: 66.20.150/CPOS-MAR/21</t>
  </si>
  <si>
    <t>GUIA ORGANIZADORA DE CABOS PARA RACK, 19´ 1 U</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</si>
  <si>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</si>
  <si>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</si>
  <si>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</si>
  <si>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</si>
  <si>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PLUGUE 110 IDC - 4 PARES</t>
  </si>
  <si>
    <t>PLUGUE RJ45 (CM8v)</t>
  </si>
  <si>
    <t xml:space="preserve">BRAÇADEIRA TIPO CUNHA </t>
  </si>
  <si>
    <t>CABO DE REDE FTP 5E 24 AWG</t>
  </si>
  <si>
    <t>(CABO BLINDADO)</t>
  </si>
  <si>
    <t>FORNECIMENTO E INSTALAÇÃO DE CENTRAL TELEFÔNICA PABX</t>
  </si>
  <si>
    <t>Composição de referência para os coeficientes de consumo: Serviço de Terceiro</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</si>
  <si>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</si>
  <si>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</si>
  <si>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</si>
  <si>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</si>
  <si>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</si>
  <si>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</si>
  <si>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</si>
  <si>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</si>
  <si>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</si>
  <si>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</si>
  <si>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</si>
  <si>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</si>
  <si>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HASTE DE ATERRAMENTO 3/4X2,40M PARA SPDA - FORNECIMENTO E INSTALAÇÃO.</t>
  </si>
  <si>
    <t>HASTE DE ATERRAMENTO EM AÇO COM 2,40M DE COMPRIMENTO E DN 3/4",REVESTIMENTO COM BAIXA CAMADA DE COBRE,SEM CONECTOR.</t>
  </si>
  <si>
    <t>COMP ELE 19</t>
  </si>
  <si>
    <t>Composição de referência para os coeficientes de consumo: 96986/SINAPI-05/2021</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</si>
  <si>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</si>
  <si>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</si>
  <si>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</si>
  <si>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</si>
  <si>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</si>
  <si>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</si>
  <si>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LUVA PARA ELETRODUTO, PVC, SOLDÁVEL, DN 25 MM (3/4), APARENTE, INSTALADA EM TETO - FORNECIMENTO E INSTALAÇÃO. AF_11/2016_P</t>
  </si>
  <si>
    <t>COMP ELE 21</t>
  </si>
  <si>
    <t>COMP ELE 22</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</si>
  <si>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</si>
  <si>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</si>
  <si>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</si>
  <si>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</si>
  <si>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</si>
  <si>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</si>
  <si>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</si>
  <si>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</si>
  <si>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</si>
  <si>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</si>
  <si>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</si>
  <si>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</si>
  <si>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</si>
  <si>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</si>
  <si>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</si>
  <si>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</si>
  <si>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t xml:space="preserve">LUMINÁRIA TIPO CALHA, DE EMBUTIR, COM 4 LÂMPADAS TUBULARES LED DE 20 W - FORNECIMENTO E INSTALAÇÃO. </t>
  </si>
  <si>
    <t>ELETRODUTO RÍGIDO SOLDÁVEL, PVC, DN 25 MM (3/4), APARENTE, INSTALADO EM PAREDE - FORNECIMENTO E INSTALAÇÃO. AF_11/2016_P</t>
  </si>
  <si>
    <t>ELETRODUTO RÍGIDO SOLDÁVEL, PVC, DN 25 MM (3/4), APARENTE, INSTALADO EM TETO - FORNECIMENTO E INSTALAÇÃO. AF_11/2016_P</t>
  </si>
  <si>
    <t>ELETRODUTO FLEXÍVEL CORRUGADO, PVC, DN 25 MM (3/4"), PARA CIRCUITOS TERMINAIS, INSTALADO EM PAREDE - FORNECIMENTO E INSTALAÇÃO. AF_12/2015</t>
  </si>
  <si>
    <t>Composição de referência para os coeficientes de consumo: 171411/SEDOP-04/2020</t>
  </si>
  <si>
    <t>COMP ELE 26</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</si>
  <si>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</si>
  <si>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</si>
  <si>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</si>
  <si>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</si>
  <si>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</si>
  <si>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</si>
  <si>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</si>
  <si>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</si>
  <si>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PARAFUSO METAL 21/2"X12 P/ BUCHA s-10</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</si>
  <si>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</si>
  <si>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</si>
  <si>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</si>
  <si>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</si>
  <si>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</si>
  <si>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</si>
  <si>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</si>
  <si>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</si>
  <si>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</si>
  <si>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</si>
  <si>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</si>
  <si>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</si>
  <si>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</si>
  <si>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</si>
  <si>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</si>
  <si>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</si>
  <si>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</si>
  <si>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</si>
  <si>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</si>
  <si>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</si>
  <si>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FORNECIMENTO E INSTALAÇÃO DE PORTÃO DE CORRER DE  1,50 X 2,45 M.</t>
  </si>
  <si>
    <t>42.422.594/0001-79</t>
  </si>
  <si>
    <t>RP - SEGURANÇA ELETRÔNICA</t>
  </si>
  <si>
    <t>JS - SEGURANÇA ELETRÔNICA</t>
  </si>
  <si>
    <t>13.882.751/0001-20</t>
  </si>
  <si>
    <t>Jesse Albano                                                                                      (65)9.8462-8245</t>
  </si>
  <si>
    <t>Rafael S Porto                                                                         (65) 9.9964-9791</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</si>
  <si>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</si>
  <si>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</si>
  <si>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</si>
  <si>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</si>
  <si>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</si>
  <si>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</si>
  <si>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SINGÔNIO - JD INTERNO</t>
  </si>
  <si>
    <t>PLANTIO DE FORRAÇÃO. AF_05/2018</t>
  </si>
  <si>
    <t>COMP 27</t>
  </si>
  <si>
    <t>DESENHO E COMUNICAÇÃO VISUAL</t>
  </si>
  <si>
    <t>Débora Chauvin                                                                               (65) 3631-4227</t>
  </si>
  <si>
    <t>COMP 28</t>
  </si>
  <si>
    <t>FORNECIMENTO E ESPALHAMENTO DE TERRA VEGETAL PREPARADA</t>
  </si>
  <si>
    <t>Composição de referência para os coeficientes de consumo: 2394/ORSE - 02/2021</t>
  </si>
  <si>
    <t>TERRA VEGETAL</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</si>
  <si>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</si>
  <si>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</si>
  <si>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</si>
  <si>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</si>
  <si>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</si>
  <si>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</si>
  <si>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</si>
  <si>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</si>
  <si>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</si>
  <si>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</si>
  <si>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</si>
  <si>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</si>
  <si>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</si>
  <si>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 xml:space="preserve">ALVENARIA DE VEDAÇÃO DE BLOCOS CERÂMICOS FURADOS NA HORIZONTAL DE 9X14X19CM (ESPESSURA 9CM) DE PAREDES COM ÁREA LÍQUIDA MAIOR OU IGUAL  A 6M² COM VÃOS E ARGAMASSA DE ASSENTAMENTO COM PREPARO EM BETONEIRA. AF_06/2014 </t>
  </si>
  <si>
    <t>7.4</t>
  </si>
  <si>
    <t>7.5</t>
  </si>
  <si>
    <t>7.7</t>
  </si>
  <si>
    <t>7.8</t>
  </si>
  <si>
    <t>7.9</t>
  </si>
  <si>
    <t>7.10</t>
  </si>
  <si>
    <t>8.1.3</t>
  </si>
  <si>
    <t>11.1.27</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</si>
  <si>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</si>
  <si>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</si>
  <si>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</si>
  <si>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</si>
  <si>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</si>
  <si>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</si>
  <si>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</si>
  <si>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</si>
  <si>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</si>
  <si>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</si>
  <si>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</si>
  <si>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</si>
  <si>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</si>
  <si>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</si>
  <si>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</si>
  <si>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</si>
  <si>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</si>
  <si>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</si>
  <si>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</si>
  <si>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</si>
  <si>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</si>
  <si>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11.2.9</t>
  </si>
  <si>
    <t>11.2.21</t>
  </si>
  <si>
    <t>11.2.22</t>
  </si>
  <si>
    <t>11.2.23</t>
  </si>
  <si>
    <t>11.2.24</t>
  </si>
  <si>
    <t>11.2.25</t>
  </si>
  <si>
    <t>11.2.26</t>
  </si>
  <si>
    <t>MURETA COM BLOCO DE CONCRETO 14X19X39</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</si>
  <si>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</si>
  <si>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</si>
  <si>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</si>
  <si>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</si>
  <si>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</si>
  <si>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</si>
  <si>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</si>
  <si>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</si>
  <si>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</si>
  <si>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</si>
  <si>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</si>
  <si>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</si>
  <si>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(COMPOSIÇÃO REPRESENTATIVA) DO SERVIÇO DE ALVENARIA DE VEDAÇÃO DE BLOCOS VAZADOS DE CONCRETO DE 14X19X39CM (ESPESSURA 14CM), PARA EDIFICAÇÃO HABITACIONAL UNIFAMILIAR (CASA) E EDIFICAÇÃO PÚBLICA PADRÃO. AF_12/2014</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</si>
  <si>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</si>
  <si>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</si>
  <si>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</si>
  <si>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</si>
  <si>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</si>
  <si>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 xml:space="preserve">ENGENHEIRO CIVIL  - 4h / semana * 16 semanas = 64 h                                                                                                    ENCARREGADO - 20 dias/mês * 8 h/dia* 4 meses = 640 h </t>
  </si>
  <si>
    <t>FOSSA SEPTICA, SEM FILTRO, PARA 8 A 14 CONTRIBUINTES, CILINDRICA, COM TAMPA, EM POLIETILENO DE ALTA DENSIDADE (PEAD), CAPACIDADE APROXIMADA DE 3000 LITROS (NBR 7229)</t>
  </si>
  <si>
    <t>15.930.198/0001-80</t>
  </si>
  <si>
    <t>KAROLINE ALMEIDA                                                                                                                                    3684-6610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</si>
  <si>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</si>
  <si>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</si>
  <si>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</si>
  <si>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</si>
  <si>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</si>
  <si>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</si>
  <si>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</si>
  <si>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</si>
  <si>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</si>
  <si>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</si>
  <si>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</si>
  <si>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</si>
  <si>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</si>
  <si>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</si>
  <si>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</si>
  <si>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</si>
  <si>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</si>
  <si>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</si>
  <si>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</si>
  <si>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</si>
  <si>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</si>
  <si>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</si>
  <si>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</si>
  <si>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</si>
  <si>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</si>
  <si>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</si>
  <si>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</si>
  <si>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</si>
  <si>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</si>
  <si>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</si>
  <si>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</si>
  <si>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</si>
  <si>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</si>
  <si>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</si>
  <si>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</si>
  <si>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</si>
  <si>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</si>
  <si>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</si>
  <si>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</si>
  <si>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</si>
  <si>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</si>
  <si>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</si>
  <si>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</si>
  <si>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Joelho 90 soldável c/ rosca 25 mm - 3/4"</t>
  </si>
  <si>
    <t xml:space="preserve">Joelho de redução soldável c/ rosca 25 mm - 1/2" </t>
  </si>
  <si>
    <t>Luva soldável c/ rosca 25 mm -3/4"</t>
  </si>
  <si>
    <t>Bucha de redução sold. Longa 50 mm - 25 mm</t>
  </si>
  <si>
    <t>Tê de redução 90 soldável  50 mm - 25 mm</t>
  </si>
  <si>
    <t>Joelho 90º soldável com  bucha de latão  25 mm - 3/4"</t>
  </si>
  <si>
    <t>Joelho de redução 90º soldável com bucha de latão 3/4" - 1/2"</t>
  </si>
  <si>
    <t>Hidrômetro individual 5m³/h - 3/4"</t>
  </si>
  <si>
    <t>LUVA, PVC, SOLDÁVEL, DN 25MM, INSTALADO EM RAMAL OU SUB-RAMAL DE ÁGUA - FORNECIMENTO E INSTALAÇÃO. AF_12/2014</t>
  </si>
  <si>
    <t>LUVA, PVC, SOLDÁVEL, DN 50MM, INSTALADO EM PRUMADA DE ÁGUA - FORNECIMENTO E INSTALAÇÃO. AF_12/2014</t>
  </si>
  <si>
    <t>JOELHO DE REDUÇÃO 90 GRAUS SOLDÁVEL COM BUCHA DE LATÃO 3/4" - 1/2"</t>
  </si>
  <si>
    <t>14.15</t>
  </si>
  <si>
    <t>APARELHOS E METAIS</t>
  </si>
  <si>
    <t>14.16</t>
  </si>
  <si>
    <t>14.17</t>
  </si>
  <si>
    <t>ESGOTO</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</si>
  <si>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</si>
  <si>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</si>
  <si>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</si>
  <si>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</si>
  <si>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</si>
  <si>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</si>
  <si>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</si>
  <si>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</si>
  <si>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</si>
  <si>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</si>
  <si>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</si>
  <si>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</si>
  <si>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</si>
  <si>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</si>
  <si>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</si>
  <si>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</si>
  <si>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</si>
  <si>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</si>
  <si>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</si>
  <si>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</si>
  <si>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</si>
  <si>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REGISTRO DE GAVETA BRUTO, LATÃO, ROSCÁVEL, 1 1/2,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</si>
  <si>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</si>
  <si>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</si>
  <si>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</si>
  <si>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</si>
  <si>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</si>
  <si>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</si>
  <si>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</si>
  <si>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</si>
  <si>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</si>
  <si>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</si>
  <si>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</si>
  <si>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</si>
  <si>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</si>
  <si>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</si>
  <si>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</si>
  <si>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</si>
  <si>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</si>
  <si>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</si>
  <si>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</si>
  <si>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</si>
  <si>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</si>
  <si>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</si>
  <si>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</si>
  <si>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</si>
  <si>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</si>
  <si>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</si>
  <si>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</si>
  <si>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</si>
  <si>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</si>
  <si>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</si>
  <si>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</si>
  <si>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</si>
  <si>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</si>
  <si>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</si>
  <si>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</si>
  <si>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</si>
  <si>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</si>
  <si>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</si>
  <si>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</si>
  <si>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</si>
  <si>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</si>
  <si>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</si>
  <si>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</si>
  <si>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</si>
  <si>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</si>
  <si>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</si>
  <si>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</si>
  <si>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</si>
  <si>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</si>
  <si>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</si>
  <si>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</si>
  <si>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</si>
  <si>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</si>
  <si>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</si>
  <si>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</si>
  <si>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</si>
  <si>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</si>
  <si>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</si>
  <si>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</si>
  <si>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</si>
  <si>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</si>
  <si>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</si>
  <si>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</si>
  <si>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</si>
  <si>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</si>
  <si>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</si>
  <si>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</si>
  <si>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</si>
  <si>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</si>
  <si>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</si>
  <si>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</si>
  <si>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</si>
  <si>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</si>
  <si>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</si>
  <si>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</si>
  <si>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</si>
  <si>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</si>
  <si>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</si>
  <si>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</si>
  <si>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</si>
  <si>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</si>
  <si>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</si>
  <si>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</si>
  <si>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</si>
  <si>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</si>
  <si>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</si>
  <si>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</si>
  <si>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</si>
  <si>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</si>
  <si>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</si>
  <si>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</si>
  <si>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</si>
  <si>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</si>
  <si>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 xml:space="preserve">CONCRETAGEM DE RADIER, PISO OU LAJE SOBRE SOLO, FCK 30 MPA, PARA ESPESSURA DE 15 CM - LANÇAMENTO, ADENSAMENTO E ACABAMENTO. AF_09/2017 </t>
  </si>
  <si>
    <t xml:space="preserve">ARMAÇÃO DE LAJE DE UMA ESTRUTURA CONVENCIONAL DE CONCRETO ARMADO EM UMA EDIFICAÇÃO TÉRREA OU SOBRADO UTILIZANDO AÇO CA-60 DE 4,2 MM - MONTAGEM. AF_12/2015 </t>
  </si>
  <si>
    <t>ARMAÇÃO BASE E TAMPA:                                                                                                                37,765 * 2 = 75,53</t>
  </si>
  <si>
    <t>COMP ETE 01</t>
  </si>
  <si>
    <t>COMP ETE 02</t>
  </si>
  <si>
    <t>ALVENARIA + CHAMINÉ =                                                                                                                                                      18,08+0,62 =18,70 m²</t>
  </si>
  <si>
    <t>COMPOSIÇÕES UNITÁRIAS DE PREÇO DE ESGOTAMENTO SANITÁRIO</t>
  </si>
  <si>
    <t>FORNECIMENTO/INSTALAÇÃO LONA PLÁSTICA PRETA,PARA IMPERMEABILIZAÇÃO, 150 MICRAS</t>
  </si>
  <si>
    <t>Composição de referência para os coeficientes de consumo: 68053/SINAPI -JAN/2020</t>
  </si>
  <si>
    <t>IMPERMEABILIZADOR COM ENCARGOS COMPLEMENTARES</t>
  </si>
  <si>
    <t>Caixas de Passagem</t>
  </si>
  <si>
    <t>Cx  Inspeção Sifon 60X60 cm</t>
  </si>
  <si>
    <t>CX GORDURA PVC 30 cm</t>
  </si>
  <si>
    <t>PVC Esgoto</t>
  </si>
  <si>
    <t xml:space="preserve">                   -   50 mm</t>
  </si>
  <si>
    <t>Junção simples</t>
  </si>
  <si>
    <t xml:space="preserve">                   -   100 mm - 50 mm</t>
  </si>
  <si>
    <t>Terminal de ventilação</t>
  </si>
  <si>
    <t xml:space="preserve">                   - 50 mm</t>
  </si>
  <si>
    <t xml:space="preserve">                   - 75 mm</t>
  </si>
  <si>
    <t>Tê sanitário</t>
  </si>
  <si>
    <t xml:space="preserve">                         - 100 mm - 75 mm</t>
  </si>
  <si>
    <t xml:space="preserve">                         - 50 mm - 50 mm</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</si>
  <si>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</si>
  <si>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</si>
  <si>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</si>
  <si>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</si>
  <si>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</si>
  <si>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</si>
  <si>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</si>
  <si>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</si>
  <si>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50 mm- 1.1/2"</t>
  </si>
  <si>
    <t xml:space="preserve">                                              25 mm - 3/4"</t>
  </si>
  <si>
    <t xml:space="preserve">                                             25 mm - 3/4"</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</si>
  <si>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</si>
  <si>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</si>
  <si>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</si>
  <si>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</si>
  <si>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</si>
  <si>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</si>
  <si>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</si>
  <si>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</si>
  <si>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 xml:space="preserve">TE DE REDUÇÃO, PVC, SOLDÁVEL, DN 100MM X 75MM,FORNECIMENTO E INSTALAÇÃO. </t>
  </si>
  <si>
    <t>15.1.20</t>
  </si>
  <si>
    <t>15.1.21</t>
  </si>
  <si>
    <t>15.1.22</t>
  </si>
  <si>
    <t>15.1.23</t>
  </si>
  <si>
    <t>15.1.24</t>
  </si>
  <si>
    <t>15.1.25</t>
  </si>
  <si>
    <t>15.1.26</t>
  </si>
  <si>
    <t>Bolsa de ligação p/ vaso sanitário - 11/2"</t>
  </si>
  <si>
    <t>JOELHO 90 GRAUS, PVC, SERIE NORMAL, ESGOTO PREDIAL, DN 40 MM, JUNTA SOLDÁVEL, FORNECIDO E INSTALADO EM RAMAL DE DESCARGA OU RAMAL DE ESGOTO SANITÁRIO. AF_12/2014</t>
  </si>
  <si>
    <t>JOELHO 90 GRAUS, PVC, SERIE NORMAL, ESGOTO PREDIAL, DN 75 MM, JUNTA ELÁSTICA, FORNECIDO E INSTALADO EM RAMAL DE DESCARGA OU RAMAL DE ESGOTO SANITÁRIO. AF_12/2014</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</si>
  <si>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</si>
  <si>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</si>
  <si>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</si>
  <si>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</si>
  <si>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</si>
  <si>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</si>
  <si>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</si>
  <si>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</si>
  <si>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TE, PVC, SERIE NORMAL, ESGOTO PREDIAL, DN 50 X 50 MM, JUNTA ELÁSTICA, FORNECIDO E INSTALADO EM RAMAL DE DESCARGA OU RAMAL DE ESGOTO SANITÁRIO.AF_12/2014</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</si>
  <si>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</si>
  <si>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</si>
  <si>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</si>
  <si>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</si>
  <si>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</si>
  <si>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</si>
  <si>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</si>
  <si>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'SIFÃO DO TIPO FLEXÍVEL EM PVC  2" -  FORNECIMENTO E INSTALAÇÃO.</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</si>
  <si>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</si>
  <si>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</si>
  <si>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</si>
  <si>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</si>
  <si>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</si>
  <si>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</si>
  <si>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</si>
  <si>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</si>
  <si>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</si>
  <si>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</si>
  <si>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</si>
  <si>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</si>
  <si>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</si>
  <si>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</si>
  <si>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</si>
  <si>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TAMPA CIRCULAR PARA ESGOTO E DRENAGEM, EM CONCRETO PRÉ-MOLDADO, DIÂMETRO INTERNO = 0,6 M. AF_12/2020</t>
  </si>
  <si>
    <t>LONA PLASTICA PESADA PRETA, E = 150 MICRA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</si>
  <si>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</si>
  <si>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</si>
  <si>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</si>
  <si>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</si>
  <si>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</si>
  <si>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</si>
  <si>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</si>
  <si>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</si>
  <si>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</si>
  <si>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</si>
  <si>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</si>
  <si>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</si>
  <si>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</si>
  <si>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</si>
  <si>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LANÇAMENTO COM USO DE BALDES, ADENSAMENTO E ACABAMENTO DE CONCRETO EM ESTRUTURAS. AF_12/2015</t>
  </si>
  <si>
    <t>ARAME GALVANIZADO 18 BWG, D = 1,24MM (0,009 KG/M)</t>
  </si>
  <si>
    <t>16.5</t>
  </si>
  <si>
    <t>16.6</t>
  </si>
  <si>
    <t>LIMPEZA DE PISO CERÂMICO OU PORCELANATO COM PANO ÚMIDO. AF_04/2019</t>
  </si>
  <si>
    <t>LIMPEZA DE REVESTIMENTO CERÂMICO EM PAREDE COM PANO ÚMIDO AF_04/2019</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</si>
  <si>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</si>
  <si>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</si>
  <si>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</si>
  <si>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</si>
  <si>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</si>
  <si>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FABRICAÇÃO, MONTAGEM E DESMONTAGEM DE FORMA PARA RADIER, EM MADEIRA SERRADA, 4 UTILIZAÇÕES. AF_09/2017</t>
  </si>
  <si>
    <t>ARMAÇÃO DE LAJE DE UMA ESTRUTURA CONVENCIONAL DE CONCRETO ARMADO EM UMA EDIFICAÇÃO TÉRREA OU SOBRADO UTILIZANDO AÇO CA-60 DE 4,2 MM - MONTAGEM. AF_12/2015</t>
  </si>
  <si>
    <t>LASTRO COM MATERIAL GRANULAR (AREIA MÉDIA), APLICADO EM PISOS OU LAJES SOBRE SOLO, ESPESSURA DE *10 CM*. AF_07/2019</t>
  </si>
  <si>
    <t>COMPACTAÇÃO MECÂNICA DE SOLO PARA EXECUÇÃO DE RADIER, COM COMPACTADOR DE SOLOS TIPO PLACA VIBRATÓRIA. AF_09/2017</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</si>
  <si>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</si>
  <si>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</si>
  <si>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t>APLICAÇÃO DE FUNDO SELADOR ACRÍLICO EM TETO, UMA DEMÃO. AF_06/2014</t>
  </si>
  <si>
    <t>APLICAÇÃO MANUAL DE PINTURA COM TINTA LÁTEX ACRÍLICA EM TETO, DUAS DEMÃOS. AF_06/2014</t>
  </si>
  <si>
    <t>MASSA TEXTURIZADA ACRÍLICA</t>
  </si>
  <si>
    <t>TINTA ACRÍLICA</t>
  </si>
  <si>
    <t>9.2.4</t>
  </si>
  <si>
    <t>9.2.5</t>
  </si>
  <si>
    <t>COMP 33</t>
  </si>
  <si>
    <t>BLOCOS DE COROAMENTO DE ESTACA DE CONCRETO</t>
  </si>
  <si>
    <t>COMP 34</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</si>
  <si>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</si>
  <si>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</si>
  <si>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</si>
  <si>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</si>
  <si>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</si>
  <si>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</si>
  <si>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</si>
  <si>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</si>
  <si>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Sara Costa                                                     3052-6179</t>
  </si>
  <si>
    <t>ALUMINIA - Esquadrias de Alumínio e PVC</t>
  </si>
  <si>
    <t>ARBUSTO MADEIRAS</t>
  </si>
  <si>
    <t>30.000.438/0001-30</t>
  </si>
  <si>
    <t>REI DO PERGOLADO E DECK</t>
  </si>
  <si>
    <t>Área efetivamente utilizada</t>
  </si>
  <si>
    <t>PORTÕES</t>
  </si>
  <si>
    <t>3.2</t>
  </si>
  <si>
    <t>3.6</t>
  </si>
  <si>
    <t>3.7</t>
  </si>
  <si>
    <t>3.8</t>
  </si>
  <si>
    <t>3.9</t>
  </si>
  <si>
    <t>3.10</t>
  </si>
  <si>
    <t>3.11</t>
  </si>
  <si>
    <t>3.12</t>
  </si>
  <si>
    <t>3.14</t>
  </si>
  <si>
    <t>3.15</t>
  </si>
  <si>
    <t>3.16</t>
  </si>
  <si>
    <t>3.17</t>
  </si>
  <si>
    <t>3.18</t>
  </si>
  <si>
    <t>20.14</t>
  </si>
  <si>
    <t>3.19</t>
  </si>
  <si>
    <t>SEMA</t>
  </si>
  <si>
    <t>REATERRO DO TUBULÃO</t>
  </si>
  <si>
    <t>54 pç</t>
  </si>
  <si>
    <t>13.25 m</t>
  </si>
  <si>
    <t>19.5 m</t>
  </si>
  <si>
    <t>78 m</t>
  </si>
  <si>
    <t>212.6 m</t>
  </si>
  <si>
    <t>Caixa de passagem - embutir Aço pintada  300x300x120 mm</t>
  </si>
  <si>
    <t>Caixa de passagem - embutir Aço pintada  400x400x150 mm</t>
  </si>
  <si>
    <t>Placa 2x4" c/ furo</t>
  </si>
  <si>
    <t>Placa 2x4" p/ 1 função</t>
  </si>
  <si>
    <t>Placa 2x4" p/ 2 funções</t>
  </si>
  <si>
    <t>Placa 2x4" p/ 3 funções</t>
  </si>
  <si>
    <t>Disjuntor Tripolar Termomagnético - norma DIN  100A - 10 kA</t>
  </si>
  <si>
    <t>Disjuntor Tripolar Termomagnético - norma DIN  90A - 10 kA</t>
  </si>
  <si>
    <t>Disjuntor bipolar termomagnético (380 V/220 V) - DIN   16 A - 4.5 kA</t>
  </si>
  <si>
    <t>62 pç</t>
  </si>
  <si>
    <t>55.35 m</t>
  </si>
  <si>
    <t>Bandeja deslizante perfurada P/ Rack aberto 19"</t>
  </si>
  <si>
    <t>Kit pés niveladores P/ Rack aberto 19"</t>
  </si>
  <si>
    <t>570.7 m</t>
  </si>
  <si>
    <t>Caixa de passagem - sobrepor Aço pintada  250x250x100 mm</t>
  </si>
  <si>
    <t>Caixa de passagem - sobrepor Aço pintada  400x400x150 mm</t>
  </si>
  <si>
    <t>22.3 m</t>
  </si>
  <si>
    <t>40.4 m</t>
  </si>
  <si>
    <t>66.1 m</t>
  </si>
  <si>
    <t>7.74 m</t>
  </si>
  <si>
    <t>DISJUNTOR TERMOMAGNETICO TRIPOLAR DIN 90A ,10 KA FORNECIMENTO E INSTALACAO</t>
  </si>
  <si>
    <t xml:space="preserve">DISJUNTOR TERMOMAGNETICO TRIPOLAR DIN 90A ,10 KA </t>
  </si>
  <si>
    <t>HASTE DE ATERRAMENTO 3/4 X 2,40M PARA SPDA - FORNECIMENTO E INSTALAÇÃO.</t>
  </si>
  <si>
    <t>ABRACADEIRA EM ACO PARA AMARRACAO DE ELETRODUTOS, TIPO D, COM 3/4" E UNHA DE FIXACAO</t>
  </si>
  <si>
    <t>ABRAÇADEIRA METÁLICA TIPO "D",  COM 3/4" E  UNHA DE FIXAÇÃO</t>
  </si>
  <si>
    <t>FORNECIMENTO E INSTALAÇÃO DE PORTÃO DE CORRER, 2 FOLHAS, DE  3,90 X 2,45 M, COM ACIONAMENTO ELÉTRICO</t>
  </si>
  <si>
    <t>4 LETRAS DE 40CM</t>
  </si>
  <si>
    <t>MURETA COM GRADIL</t>
  </si>
  <si>
    <t>PILARES DA MURETA</t>
  </si>
  <si>
    <t xml:space="preserve">MURETA = 110,80 m² </t>
  </si>
  <si>
    <t>FECHAMENTO E REVESTIMENTO DA MURETA</t>
  </si>
  <si>
    <t>PINTURA DA MURETA</t>
  </si>
  <si>
    <t xml:space="preserve">  Data:  ____ / ____ / _____.</t>
  </si>
  <si>
    <t xml:space="preserve">Renan Paris de Souza                                                                                                                                                                                                                                                                                                                                                                                                                                                                                                                                                                                          Engenheiro Civil                                                                                                                                                                                                                                                                                                                                                                                                                                                                                                                                                                                                                                                                                                                                                                                                                                                                                                                                                                                                                                          CREA/MT: 100728754-3                </t>
  </si>
  <si>
    <t xml:space="preserve">Pedro Miguel Araújo do Santo                                                                                                                                                                                                                                                                                                                                                                                                                                                                                                                                                                                            Engenheiro Civil                                                                                                                                                                                                                                                                                                                                                                                                                                                                                                                                                                                                                                                                                                                                                                                                                                                                                                                                                                                                                                          CREA/MT: 045 990                    </t>
  </si>
  <si>
    <t xml:space="preserve">Data: </t>
  </si>
  <si>
    <t xml:space="preserve">Murilo Felipe Rebelato                                                                                                                                                                                                                                                                                                                                                                                                                                                                                                                                                                                       Engenheiro Eletricista                                                                                                                                                                                                                                                                                                                                                                                                                                                                                                                                                                                                                                                                                                                                                                                                                                                                                                                                                                                                                               CREA/MT: 120079049-9                </t>
  </si>
  <si>
    <t xml:space="preserve">Adelmo Barros                                                                                                                                                                                                                                                                                                                                                                                                                                                                                                                                                                                                                                                                                                                                                                                                                                                                                                                                                                                                                                                                                                                                                                                                                                                                                                                                                                                                                                                                                                                                                                                                                                                                                                                                                                                                                                                                                                                                                             Engenheiro Sanitarista                                                                                                                                                                                                                                                                                                                                                                                                                                                                                                                                                                                                                                                                                                                                                                                                                                                                                                                                                                                                                                                                                                                                                                                                                                                                                                                                                                                                                                                                                                                                                                                                                                                                                                                                                                                                                                                                                                                                                                                                                                                                                                                                        CREA/MT:                </t>
  </si>
  <si>
    <t>LISTA DE MATERIAIS - Sanitário</t>
  </si>
  <si>
    <t>Profund. Total do Sumidouro (Pts)</t>
  </si>
  <si>
    <t>UNIDADE</t>
  </si>
  <si>
    <t xml:space="preserve">                                             25 mm - 3/4"    -  metro</t>
  </si>
  <si>
    <t xml:space="preserve">                  - 100 mm - 4"   - metro</t>
  </si>
  <si>
    <t xml:space="preserve">                 - 50 mm - 2"    - metro</t>
  </si>
  <si>
    <t xml:space="preserve">                - 75 mm - 3"    - metro</t>
  </si>
  <si>
    <t xml:space="preserve">22.94 </t>
  </si>
  <si>
    <t xml:space="preserve">9.72 </t>
  </si>
  <si>
    <t xml:space="preserve">29.38 </t>
  </si>
  <si>
    <t xml:space="preserve">1.84 </t>
  </si>
  <si>
    <t>Tubo rígido c/ ponta lisa - unidade em metro</t>
  </si>
  <si>
    <t>Joelho 45    -  100 mm</t>
  </si>
  <si>
    <t>Joelho 90   - 100 mm</t>
  </si>
  <si>
    <t xml:space="preserve">                   - 40 mm</t>
  </si>
  <si>
    <t xml:space="preserve">                    -75 mm</t>
  </si>
  <si>
    <t xml:space="preserve">                   -  100 mm - 100 mm</t>
  </si>
  <si>
    <t xml:space="preserve">                   -   50 mm  - 50 mm</t>
  </si>
  <si>
    <t xml:space="preserve">                                             50 mm- 1.1/2"   -  metro</t>
  </si>
  <si>
    <t xml:space="preserve">                                              50 mm- 1.1/2"</t>
  </si>
  <si>
    <t xml:space="preserve">                                                25 mm - 3/4"</t>
  </si>
  <si>
    <t xml:space="preserve">                                          - 40 mm          - metro</t>
  </si>
  <si>
    <t xml:space="preserve">             20 mm - 1/2"</t>
  </si>
  <si>
    <t xml:space="preserve">           25 mm - 3/4"</t>
  </si>
  <si>
    <t xml:space="preserve">            50 mm- 1.1/2"</t>
  </si>
  <si>
    <t>CONFRESA - MT</t>
  </si>
  <si>
    <t>RUA ERICHIN ESQUINA COM RUA CIRCULAR. BAIRRO RESIDENCIAL ARCO IRIS</t>
  </si>
  <si>
    <t>69,39+82,84+45,25</t>
  </si>
  <si>
    <t>Calçadas no entorno do terreno, Acesso de pedestre e Apoio Técnico</t>
  </si>
  <si>
    <t>Espessura de 7cm</t>
  </si>
  <si>
    <t>21.2</t>
  </si>
  <si>
    <t>MEIO FIO  DE CONCRETO MOLDADO "IN LOCO" - TRECHO RETO</t>
  </si>
  <si>
    <t>77,35+43,13+74,39</t>
  </si>
  <si>
    <t>34,36+98,66+15,52</t>
  </si>
  <si>
    <t>34,36+98,66</t>
  </si>
  <si>
    <t>45,25+82,67+69,02</t>
  </si>
  <si>
    <t>(45,25+82,67+69,02)X2</t>
  </si>
  <si>
    <t>(45,25+82,67+69,02)</t>
  </si>
  <si>
    <t>EMBOÇO TRAÇO 1:4 - MURETA</t>
  </si>
  <si>
    <t>19,41+11,40+((6*2)+(5*12))+((0,31+1,20+(1,41X6)+0,70)X2+((4,05*11))</t>
  </si>
  <si>
    <t xml:space="preserve"> DIRETORIA DE UNIDADE DESCONCENTRADA CONFRESA</t>
  </si>
  <si>
    <t>Área total do terreno</t>
  </si>
  <si>
    <t>1.9</t>
  </si>
  <si>
    <t>LOCAÇÃO CONVENCIONAL DE OBRA , UTILIZANDO GABARITO DE TÁBUAS CORRIDAS</t>
  </si>
  <si>
    <t>Utilizar o comprimento do gabarito com tábuas corridas</t>
  </si>
  <si>
    <t>PLANTA BAIXA - ESQUEMÁTICA</t>
  </si>
  <si>
    <t>PERÍMETRO TOTAL(M)</t>
  </si>
  <si>
    <t>LOCAÇÃO</t>
  </si>
  <si>
    <t>17,25+7,80+7,50+8,75+9,65+1,35+4,15+5,00+3,35+2,35+3,65+1,45+4,65+1,35</t>
  </si>
  <si>
    <t>Todo o perímetro da edificação</t>
  </si>
  <si>
    <t>ESTRUTURA DE CONCRETO</t>
  </si>
  <si>
    <t>4.0</t>
  </si>
  <si>
    <t>5.0</t>
  </si>
  <si>
    <t>IMPERMEABILIZAÇÃO</t>
  </si>
  <si>
    <t>6.0</t>
  </si>
  <si>
    <t>ALVENARIA</t>
  </si>
  <si>
    <t>EXECUÇÃO DE ALVENARIA DE ELEVAÇÃO  - BLOCO CERÂMICO</t>
  </si>
  <si>
    <t>BLOCO 01</t>
  </si>
  <si>
    <t>ALTURA (m)</t>
  </si>
  <si>
    <t>A X L vão</t>
  </si>
  <si>
    <t>Área vão (m²)</t>
  </si>
  <si>
    <t>Área Final (m²)</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</si>
  <si>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</si>
  <si>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</si>
  <si>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</si>
  <si>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</si>
  <si>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</si>
  <si>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</si>
  <si>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</si>
  <si>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</si>
  <si>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</si>
  <si>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</si>
  <si>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PAREDES COM ÁREA LÍQUIDA MENOR QUE 6M² - SEM VÃO</t>
  </si>
  <si>
    <t>1,35+1,35+(1,85*4)+1,95</t>
  </si>
  <si>
    <t>4,15+1,50+4,80+3,65+1,65+4,30+4,00 (platibanda 01)</t>
  </si>
  <si>
    <t>3,55 (platibanda 02)</t>
  </si>
  <si>
    <t>PAREDES COM ÁREA LÍQUIDA MAIOR QUE 6M² - SEM VÃO</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</si>
  <si>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</si>
  <si>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</si>
  <si>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</si>
  <si>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</si>
  <si>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</si>
  <si>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</si>
  <si>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</si>
  <si>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</si>
  <si>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</si>
  <si>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</si>
  <si>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</si>
  <si>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</si>
  <si>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PAREDES COM ÁREA LÍQUIDA MENOR QUE 6M² - COM VÃO</t>
  </si>
  <si>
    <t>6.1.2</t>
  </si>
  <si>
    <t>ELEMENTO VAZADO DE CONCRETO QUADRADO 16 FUROS</t>
  </si>
  <si>
    <t xml:space="preserve">Dimensão da esquadria com transpasse de 30cm para cada lado. </t>
  </si>
  <si>
    <t>ALTURA (M)</t>
  </si>
  <si>
    <t>DESC. DE VÃO</t>
  </si>
  <si>
    <t>ÁREA TOTAL (M²)</t>
  </si>
  <si>
    <t>0,90X2,10</t>
  </si>
  <si>
    <t>6.2.1</t>
  </si>
  <si>
    <t>VERGAS PARA JANELAS</t>
  </si>
  <si>
    <t>CÓDIGO/QUANTIDADE</t>
  </si>
  <si>
    <t>LARGURA</t>
  </si>
  <si>
    <t>TRANSPASSE</t>
  </si>
  <si>
    <t>COMPRIMENTO FINAL (M)</t>
  </si>
  <si>
    <t>J1X11</t>
  </si>
  <si>
    <t>0,30+0,30</t>
  </si>
  <si>
    <t>J2X06</t>
  </si>
  <si>
    <t>J3X2</t>
  </si>
  <si>
    <t>J4X1</t>
  </si>
  <si>
    <t>6.2.2</t>
  </si>
  <si>
    <t>VERGAS PARA PORTAS</t>
  </si>
  <si>
    <t>P1X1</t>
  </si>
  <si>
    <t>P2X1</t>
  </si>
  <si>
    <t>P3X3</t>
  </si>
  <si>
    <t>P4X1</t>
  </si>
  <si>
    <t>P5X1</t>
  </si>
  <si>
    <t>P6X1</t>
  </si>
  <si>
    <t>P7X5</t>
  </si>
  <si>
    <t>6.2.3</t>
  </si>
  <si>
    <t>CONTRA-VERGAS</t>
  </si>
  <si>
    <t>7.0</t>
  </si>
  <si>
    <t>COBERTURA  COM TELHA METÁLICA ISOTÉRMICA E=43MM, COM ATÉ DUAS ÁGUAS, INCLUSO IÇAMENTO</t>
  </si>
  <si>
    <t>Utilizar área de Projeção do Telhado</t>
  </si>
  <si>
    <t>Área de cobertura do prédio</t>
  </si>
  <si>
    <t xml:space="preserve">Valor retirado através do Projeto Arquitetônico pelo Projetista. </t>
  </si>
  <si>
    <t>ESTRUTURA METÁLICA DA COBERTURA</t>
  </si>
  <si>
    <t>AMBIENTES</t>
  </si>
  <si>
    <t xml:space="preserve">Beiral Externo </t>
  </si>
  <si>
    <t>8.0</t>
  </si>
  <si>
    <t>P1 - 2 folhas</t>
  </si>
  <si>
    <t>P5 - 2 folhas</t>
  </si>
  <si>
    <t xml:space="preserve">PORTA DE ABRIR DE FERRO EM CHAPA CORRUGADA </t>
  </si>
  <si>
    <t xml:space="preserve">PORTA DE ABRIR EM MADEIRA </t>
  </si>
  <si>
    <t xml:space="preserve">PORTA DE ABRIR DE MADEIRA </t>
  </si>
  <si>
    <t>P3</t>
  </si>
  <si>
    <t>8.4</t>
  </si>
  <si>
    <t>PORTA DE MADEIRA</t>
  </si>
  <si>
    <t>8.5</t>
  </si>
  <si>
    <t>PORTA DE ABRIR EM ALUMÍNIO E VIDRO 8MM  - 2 FOLHAS</t>
  </si>
  <si>
    <t>8.6</t>
  </si>
  <si>
    <t>PORTA DE CORRER DE MADEIRA</t>
  </si>
  <si>
    <t>8.7</t>
  </si>
  <si>
    <t>PORTA DE ABRIR EM ALUMÍNIO</t>
  </si>
  <si>
    <t>P7</t>
  </si>
  <si>
    <t>8.8</t>
  </si>
  <si>
    <t>P8</t>
  </si>
  <si>
    <t>8.9</t>
  </si>
  <si>
    <t>8.10</t>
  </si>
  <si>
    <t>8.11</t>
  </si>
  <si>
    <t>JANELA MAXIM AR DE ALUMÍNIO COM VIDRO LISO 6MM</t>
  </si>
  <si>
    <t>J1</t>
  </si>
  <si>
    <t>8.12</t>
  </si>
  <si>
    <t>J2</t>
  </si>
  <si>
    <t>8.13</t>
  </si>
  <si>
    <t>JANELA CORRER DE  ALUMÍNIO COM VIDRO LISO 6MM</t>
  </si>
  <si>
    <t>8.14</t>
  </si>
  <si>
    <t>J4</t>
  </si>
  <si>
    <t>8.15</t>
  </si>
  <si>
    <t>J5</t>
  </si>
  <si>
    <t>8.16</t>
  </si>
  <si>
    <t xml:space="preserve">PEITORIL EM GRANITO BRANCO SIENA </t>
  </si>
  <si>
    <t>Utilizar as dimensões estipuladas em Projeto Arquitetônico</t>
  </si>
  <si>
    <t>AMBIENTE</t>
  </si>
  <si>
    <t>COMPRIMENTO</t>
  </si>
  <si>
    <t xml:space="preserve">Ver detalhe do peitoril </t>
  </si>
  <si>
    <t>8.17</t>
  </si>
  <si>
    <t>5,40+2,90</t>
  </si>
  <si>
    <t>8.18</t>
  </si>
  <si>
    <t xml:space="preserve">SOLEIRA EM GRANITO BRANCO SIENA POLIDO </t>
  </si>
  <si>
    <t>Ver detalhe do peitoril no Caderno de Detalhes</t>
  </si>
  <si>
    <t>9.0</t>
  </si>
  <si>
    <t>REVESTIMENTOS</t>
  </si>
  <si>
    <t>CHAPISCO PARA PAREDES INTERNAS</t>
  </si>
  <si>
    <t>Utilizar área de revestimento efetivamente executada. Todos os vãos deverão ser descontados.</t>
  </si>
  <si>
    <t>ÁREA LÍQUIDA MENOR QUE 5M²</t>
  </si>
  <si>
    <t>Administrativo (1,50)</t>
  </si>
  <si>
    <t>Reunião (1,95)</t>
  </si>
  <si>
    <t>P3(0,80x2,10)</t>
  </si>
  <si>
    <t>Banheiro Feminino (1,05+2,85+3,85+1,85+1,08+2,0)</t>
  </si>
  <si>
    <t>Banheiro Masculino (1,05+2,85+3,85+1,85+1,08+2,0)</t>
  </si>
  <si>
    <r>
      <t xml:space="preserve">Banheiro PNE Masc.                                         </t>
    </r>
    <r>
      <rPr>
        <sz val="9"/>
        <color indexed="10"/>
        <rFont val="Arial"/>
        <family val="2"/>
      </rPr>
      <t xml:space="preserve">  (</t>
    </r>
    <r>
      <rPr>
        <sz val="9"/>
        <rFont val="Arial"/>
        <family val="2"/>
      </rPr>
      <t>1,85+1,85+1,65+1,65)</t>
    </r>
  </si>
  <si>
    <t>J5 (0,40X0,60)</t>
  </si>
  <si>
    <r>
      <t>Banheiro PNE Fem</t>
    </r>
    <r>
      <rPr>
        <sz val="9"/>
        <color indexed="10"/>
        <rFont val="Arial"/>
        <family val="2"/>
      </rPr>
      <t>.                             (</t>
    </r>
    <r>
      <rPr>
        <sz val="9"/>
        <rFont val="Arial"/>
        <family val="2"/>
      </rPr>
      <t>1,85+1,85+1,65+1,65)</t>
    </r>
  </si>
  <si>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</si>
  <si>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</si>
  <si>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</si>
  <si>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</si>
  <si>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</si>
  <si>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</si>
  <si>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</si>
  <si>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</si>
  <si>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</si>
  <si>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</si>
  <si>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</si>
  <si>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</si>
  <si>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</si>
  <si>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</si>
  <si>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</si>
  <si>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</si>
  <si>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</si>
  <si>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</si>
  <si>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</si>
  <si>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</si>
  <si>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</si>
  <si>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</si>
  <si>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</si>
  <si>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</si>
  <si>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</si>
  <si>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</si>
  <si>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</si>
  <si>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</si>
  <si>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</si>
  <si>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</si>
  <si>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</si>
  <si>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</si>
  <si>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</si>
  <si>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CHAPISCO PARA REVESTIMENTO CERÂMICO</t>
  </si>
  <si>
    <t>MASSA ÚNICA PARA PAREDES INTERNAS</t>
  </si>
  <si>
    <t>Banheiro PNE Masc. 91,85+1,85+1,65+1,65)</t>
  </si>
  <si>
    <t>Banheiro PNE Fem. 91,85+1,85+1,65+1,65)</t>
  </si>
  <si>
    <t>ÁREA TOTAL MASSA ÚNICA PARA PINTURA</t>
  </si>
  <si>
    <t>9.3</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</si>
  <si>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</si>
  <si>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</si>
  <si>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</si>
  <si>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</si>
  <si>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</si>
  <si>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</si>
  <si>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</si>
  <si>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</si>
  <si>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</si>
  <si>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</si>
  <si>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</si>
  <si>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</si>
  <si>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</si>
  <si>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</si>
  <si>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</si>
  <si>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</si>
  <si>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</si>
  <si>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ÁREA TOTAL DO EMBOÇO PARA REVESTIMENTO CERÂMICO</t>
  </si>
  <si>
    <t>9.4</t>
  </si>
  <si>
    <t>REVESTIMENTO CERÂMICO PAREDES INTERNAS 30X60CM</t>
  </si>
  <si>
    <t>ÁREA TOTAL DE REVESTIMENTO CERÂMICO</t>
  </si>
  <si>
    <t>9.5</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</si>
  <si>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</si>
  <si>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</si>
  <si>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</si>
  <si>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</si>
  <si>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</si>
  <si>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</si>
  <si>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</si>
  <si>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</si>
  <si>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</si>
  <si>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</si>
  <si>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</si>
  <si>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</si>
  <si>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</si>
  <si>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</si>
  <si>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</si>
  <si>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</si>
  <si>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</si>
  <si>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</si>
  <si>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</si>
  <si>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</si>
  <si>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</si>
  <si>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</si>
  <si>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9.6</t>
  </si>
  <si>
    <t>EMBOÇO PARA RECEBIMENTO DE REVESTIMENTO CERÂMICO - PAREDES EXTERNAS</t>
  </si>
  <si>
    <t>9.7</t>
  </si>
  <si>
    <t>MASSA ÚNICA PARA RECEBIMENTO DE PINTURA - PAREDES EXTERNAS</t>
  </si>
  <si>
    <r>
      <t>ÁREA TOTAL DA MASSA ÚNICA</t>
    </r>
    <r>
      <rPr>
        <b/>
        <sz val="9"/>
        <color indexed="10"/>
        <rFont val="Arial"/>
        <family val="2"/>
      </rPr>
      <t xml:space="preserve"> </t>
    </r>
    <r>
      <rPr>
        <b/>
        <sz val="9"/>
        <rFont val="Arial"/>
        <family val="2"/>
      </rPr>
      <t>PARA REVESTIMENTO CERÂMICO</t>
    </r>
  </si>
  <si>
    <t>9.8</t>
  </si>
  <si>
    <t>REVESTIMENTO CERÂMICO - PAREDES EXTERNAS</t>
  </si>
  <si>
    <t>9.9</t>
  </si>
  <si>
    <t>CHAPISCO PARA LAJE</t>
  </si>
  <si>
    <t>Critérios para quantificação dos serviços</t>
  </si>
  <si>
    <t>Utilizar área de revestimento efetivamente executada. A área de projeção das paredes deve ser descontada.</t>
  </si>
  <si>
    <t>Depósito 01</t>
  </si>
  <si>
    <t>O beiral náo receberá chapisco, receberá somente textura.</t>
  </si>
  <si>
    <t>Administrativo</t>
  </si>
  <si>
    <t>Depósito 02</t>
  </si>
  <si>
    <t>Diretor</t>
  </si>
  <si>
    <t>Sala de Reunião</t>
  </si>
  <si>
    <t>Recepção</t>
  </si>
  <si>
    <t>Copa</t>
  </si>
  <si>
    <t>DML</t>
  </si>
  <si>
    <t>Banheiro Masculino</t>
  </si>
  <si>
    <t>Banheiro PNE Masc.</t>
  </si>
  <si>
    <t>Banheiro Feminino</t>
  </si>
  <si>
    <t>Banheiro PNE Fem.</t>
  </si>
  <si>
    <t>9.10</t>
  </si>
  <si>
    <t xml:space="preserve">MASSA ÚNICA PARA LAJE </t>
  </si>
  <si>
    <t>PISOS</t>
  </si>
  <si>
    <t>NIVELAMENTO E APILOAMENTO DE BASE PARA RECEBIMENTO DO CONTAPISO</t>
  </si>
  <si>
    <t>Critérios para quantificação dos serviços: Menores de 5m², entre 5 e 10m² e maior que 10m²</t>
  </si>
  <si>
    <t>ÁREA TOTAL(M²)</t>
  </si>
  <si>
    <t>DML, Banheiro PNE Masculino, Banheiro PNE Feminino.</t>
  </si>
  <si>
    <t>3,18+2,78+2,78</t>
  </si>
  <si>
    <t>ambientes com área menor que 5m²</t>
  </si>
  <si>
    <t>Copa, Banheiro Masculino, Banheiro Feminino</t>
  </si>
  <si>
    <t>7,70+7,68+7,68</t>
  </si>
  <si>
    <t>ambientes com área entre 5m² e 10m²</t>
  </si>
  <si>
    <t>Depósito 01, Administrativo, Depósito 02, Diretor, Reunião, Recepção, Hall Interno/Circulação, Hall Externo</t>
  </si>
  <si>
    <t>34,87+72,37+10,55+16,00+19,64+20+30,21+10,61</t>
  </si>
  <si>
    <t>ambientes com área maior que 10m²</t>
  </si>
  <si>
    <t xml:space="preserve">Calçada Externa interior do terreno, Área Técnica, Calçada Ruas </t>
  </si>
  <si>
    <t>66,73+13,70+31,95+4,46+68,14+108,42</t>
  </si>
  <si>
    <t>Calçada de concreto</t>
  </si>
  <si>
    <t xml:space="preserve">ÁREA TOTAL </t>
  </si>
  <si>
    <t>LASTRO DE CONCRETO ESPESSURA 6CM (CONTRAPISO)</t>
  </si>
  <si>
    <t>Calçada Externa interior do terreno, Área Técnica</t>
  </si>
  <si>
    <t>66,73+13,70+31,95+4,46</t>
  </si>
  <si>
    <t>10.3</t>
  </si>
  <si>
    <t>CALÇADA RUA 24-A E RUA 09</t>
  </si>
  <si>
    <t>RUAS 24-A E RUA 09</t>
  </si>
  <si>
    <t>68,14+108,42</t>
  </si>
  <si>
    <t>10.4</t>
  </si>
  <si>
    <t>REGULARIZAÇÃO DESEMPENADA DE BASE PARA REVESTIMENTO DE PISO (6CM)</t>
  </si>
  <si>
    <t>10.5</t>
  </si>
  <si>
    <t>REVESTIMENTO PORCELANATO RETIFICADO, COR CINZA CLARO, PIV, DIMENSÕES DE 60CMX60CM. REJUNTE CINZA</t>
  </si>
  <si>
    <t>10.6</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</si>
  <si>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</si>
  <si>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</si>
  <si>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</si>
  <si>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</si>
  <si>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</si>
  <si>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</si>
  <si>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r>
      <t xml:space="preserve">15,70+19,2+15,2+12,20+33,60+22,70+13,30 = </t>
    </r>
    <r>
      <rPr>
        <b/>
        <sz val="9"/>
        <rFont val="Arial"/>
        <family val="2"/>
      </rPr>
      <t>131,90</t>
    </r>
  </si>
  <si>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</si>
  <si>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</si>
  <si>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</si>
  <si>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</si>
  <si>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</si>
  <si>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</si>
  <si>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</si>
  <si>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</si>
  <si>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</si>
  <si>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</si>
  <si>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</si>
  <si>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</si>
  <si>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</si>
  <si>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</si>
  <si>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</si>
  <si>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</si>
  <si>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</si>
  <si>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</si>
  <si>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</si>
  <si>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</si>
  <si>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</si>
  <si>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</si>
  <si>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</si>
  <si>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</si>
  <si>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</si>
  <si>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</si>
  <si>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</si>
  <si>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ÁREA (M³)</t>
  </si>
  <si>
    <t>ÁREA TOTAL CONCRETO (M³)</t>
  </si>
  <si>
    <t xml:space="preserve">PINTURA </t>
  </si>
  <si>
    <t>SELADOR PARA PAREDES INTERNAS, UMA DEMÃO.</t>
  </si>
  <si>
    <t>Critérios para quantificação dos serviços: equivalente à área de reboco</t>
  </si>
  <si>
    <t>Utilizar a área de aplicação da pintura em alvenaria. Descontando os vãos.</t>
  </si>
  <si>
    <t>P7(0,80*2,10*4)</t>
  </si>
  <si>
    <t>ÁREA TOTAL DO SELADOR PARA PAREDES INTERNAS, UMA DEMÃO.</t>
  </si>
  <si>
    <t>EMASSAMENTO DE PAREDES INTERNAS</t>
  </si>
  <si>
    <t>ÁREA TOTAL DO EMASSAMENTO DE PAREDES INTERNAS</t>
  </si>
  <si>
    <t>PINTURA ACRÍLICA EM PAREDES INTERNAS DUAS DEMÃOS</t>
  </si>
  <si>
    <t>ÁREA TOTAL DA 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</si>
  <si>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</si>
  <si>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</si>
  <si>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</si>
  <si>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</si>
  <si>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</si>
  <si>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</si>
  <si>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ÁREA TOTAL DO SELADOR PARA PAREDES EXTERNAS, UMA DEMÃO</t>
  </si>
  <si>
    <t>TEXTURA PARA PAREDES EXTERNAS, DUAS DEMÃO</t>
  </si>
  <si>
    <t>ÁREA TOTAL DA TEXTURA PARA PAREDES EXTERNAS, DUAS DEMÃO</t>
  </si>
  <si>
    <t xml:space="preserve">TEXTURA PARA BEIRAL </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</si>
  <si>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</si>
  <si>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</si>
  <si>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</si>
  <si>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</si>
  <si>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</si>
  <si>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</si>
  <si>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</si>
  <si>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</si>
  <si>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</si>
  <si>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</si>
  <si>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</si>
  <si>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</si>
  <si>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14.1.1</t>
  </si>
  <si>
    <t>FORNECIMENTO E INSTALAÇÃO DE BACIA SANITÁRIA COM CAIXA ACOPLADA</t>
  </si>
  <si>
    <t>Quantidade de peças que constam no Projeto Arquitetônico</t>
  </si>
  <si>
    <t xml:space="preserve">AMBIENTE </t>
  </si>
  <si>
    <t xml:space="preserve">QUANTIDADE </t>
  </si>
  <si>
    <t>14.2</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</si>
  <si>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</si>
  <si>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</si>
  <si>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</si>
  <si>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</si>
  <si>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</si>
  <si>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</si>
  <si>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</si>
  <si>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</si>
  <si>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</si>
  <si>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FORNECIMENTO E INSTALAÇÃO DE CUBA OVAL</t>
  </si>
  <si>
    <t>FORNECIMENTO E INSTALAÇÃO DE TORNEIRA DE MESA PARA BANCADA OU LAVATÓRIO</t>
  </si>
  <si>
    <t>FORNECIMENTO E INSTALAÇÃO DE TORNEIRA PARA LAVATÓRIO COM ALAVANCA PARA PCD</t>
  </si>
  <si>
    <t>PCD</t>
  </si>
  <si>
    <t>PcD Feminino</t>
  </si>
  <si>
    <t>FORNECIMENTO E INSTALAÇÃO DE TORNEIRA PARA COZINHA</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</si>
  <si>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</si>
  <si>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</si>
  <si>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</si>
  <si>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</si>
  <si>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</si>
  <si>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</si>
  <si>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</si>
  <si>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</si>
  <si>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</si>
  <si>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</si>
  <si>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</si>
  <si>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</si>
  <si>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</si>
  <si>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</si>
  <si>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</si>
  <si>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</si>
  <si>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</si>
  <si>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</si>
  <si>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</si>
  <si>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</si>
  <si>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</si>
  <si>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</si>
  <si>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</si>
  <si>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</si>
  <si>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</si>
  <si>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</si>
  <si>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</si>
  <si>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</si>
  <si>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</si>
  <si>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</si>
  <si>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</si>
  <si>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</si>
  <si>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</si>
  <si>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</si>
  <si>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</si>
  <si>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</si>
  <si>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</si>
  <si>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</si>
  <si>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</si>
  <si>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21.1</t>
  </si>
  <si>
    <t>Calçadas Rua 24 A, Rua 09, Acesso de pedestres, Acesso de carros. Apoio Técnico</t>
  </si>
  <si>
    <t>31,95+108,42+13,70+68,14+4,46</t>
  </si>
  <si>
    <t>Rua 24A 27,48+ Rua 09 41,78</t>
  </si>
  <si>
    <t>21.3</t>
  </si>
  <si>
    <t>MEIO FIO  DE CONCRETO MOLDADO "IN LOCO" - TRECHO CURVO</t>
  </si>
  <si>
    <t>21.4</t>
  </si>
  <si>
    <t>72,98+21,26+99,48+15,52</t>
  </si>
  <si>
    <t>21.5</t>
  </si>
  <si>
    <t>72,98+21,26+99,48</t>
  </si>
  <si>
    <t>21.6</t>
  </si>
  <si>
    <t>21.7</t>
  </si>
  <si>
    <t>21.8</t>
  </si>
  <si>
    <t>21.9</t>
  </si>
  <si>
    <t>24,90+44,70</t>
  </si>
  <si>
    <t>21.9.1</t>
  </si>
  <si>
    <t>(24,90+44,70)X2</t>
  </si>
  <si>
    <t>(24,90+44,70)</t>
  </si>
  <si>
    <t>21.9.2</t>
  </si>
  <si>
    <t>21.9.3</t>
  </si>
  <si>
    <t>21.9.4</t>
  </si>
  <si>
    <t>21.9.5</t>
  </si>
  <si>
    <t>21.10</t>
  </si>
  <si>
    <t>21.11</t>
  </si>
  <si>
    <t>21.12</t>
  </si>
  <si>
    <t>21.13</t>
  </si>
  <si>
    <t>7,70+(4,90X5)+20,8+(5X5)+(5,90X3)+((0,31+1,20+(1,41X6)+0,70)X2</t>
  </si>
  <si>
    <t>21.14</t>
  </si>
  <si>
    <t>21.15</t>
  </si>
  <si>
    <t>MURO EM ALVENARIA DE TIJOLO CERÂMICO</t>
  </si>
  <si>
    <t>73,76+38,25</t>
  </si>
  <si>
    <t>21.15.1</t>
  </si>
  <si>
    <t>CHAPISCO TRAÇO 1:3 PARA ALVENARIA - MURO</t>
  </si>
  <si>
    <t>(73,76+38,25)X2</t>
  </si>
  <si>
    <t>(73,76+38,25)</t>
  </si>
  <si>
    <t>21.15.2</t>
  </si>
  <si>
    <t>MASSA ÚNICA TRAÇO 1:4 - MURO</t>
  </si>
  <si>
    <t>21.15.4</t>
  </si>
  <si>
    <t>SELADOR ACRÍLICO 1 DEMÃO- MURO</t>
  </si>
  <si>
    <t>21.15.5</t>
  </si>
  <si>
    <t>PINTURA COM TINTA LÁTEX ACRÍLICA 02 DEMÃOS - MURO</t>
  </si>
  <si>
    <t>21.16</t>
  </si>
  <si>
    <t>PAINEL DE MADEIRA SOBRE ESTRUTURA METÁLICA</t>
  </si>
  <si>
    <t>Ver projeto específico</t>
  </si>
  <si>
    <t>4,23+5,33</t>
  </si>
  <si>
    <t>Ver detalhamento específico</t>
  </si>
  <si>
    <t>21.17</t>
  </si>
  <si>
    <t>LIMPEZA FINAL DA OBRA</t>
  </si>
  <si>
    <t>22.1</t>
  </si>
  <si>
    <t>LIMPEZA ÁREA INTERNA</t>
  </si>
  <si>
    <t>Área total de piso.</t>
  </si>
  <si>
    <t>DML, Banheiro PNE Feminino, Banheiro PNE Masc.</t>
  </si>
  <si>
    <t>Depósito, Administração, Depósito 02, Situação, Recepção, Hall interno</t>
  </si>
  <si>
    <t>34,87+72,37+10,55+19,64+20,00+10,61</t>
  </si>
  <si>
    <t>22.2</t>
  </si>
  <si>
    <t>LIMPEZA CALÇADAS</t>
  </si>
  <si>
    <t>Caçadas do interior do terreno</t>
  </si>
  <si>
    <t>31,95+13,70+66,73</t>
  </si>
  <si>
    <t>Caçadas Rua 24-A e Rua 09</t>
  </si>
  <si>
    <t xml:space="preserve"> Andreia Aragão                                                                                                                                                                                                                                                                                                                                                                                                                                                                                                                                                                                                                                                                                                                                                                                                                                                                                                                                                                                                                                                                                                                                                                                                                                                                                                                                                                                                                                                                                                                                                                                                                                                                                                                                                                                                                                                                                                                                                                                                                                                                                                                                                                                                                                                                                                                                                                                                                                                                                                                                                                                                                                                                                                                                                                                                                                                                                                                                                                                                                                                                                                                                                                                                                                                                                                                                                                                                                                                                                                                                                                                                                                                                                                                                                                                                                                                                                                                                                                                                                                                                                                                                                                                                                                                                                                                                                                                                                                                                                                                                                                                                                                                                                                                                                                                                                                                                                                                                                                                                                                                                                                                                                                                                                                                                         Arquiteta                                                                                                                                                                                                                                                                                                                                                                                                                                                                                                                                                                                                                                                                                                                                                                                                                                                                                                                                                                                                                                                                                                                                                                                             CAU: 79405-8                   </t>
  </si>
  <si>
    <t>QUANTITATIVO DO MURO DA SEMA DUDS CONFRESA - R00</t>
  </si>
  <si>
    <t>LEVANTAMENTO QUANTITATIVO DA SEMA DUDS CONFRESA - R01</t>
  </si>
  <si>
    <t>LAJES TRELIÇADAS</t>
  </si>
  <si>
    <t>Rua Erichin, esquina com Rua Circular - Bairro Residencial Arco Íris</t>
  </si>
  <si>
    <t>CONFRESA-MT</t>
  </si>
  <si>
    <r>
      <rPr>
        <sz val="10"/>
        <color rgb="FFFF0000"/>
        <rFont val="Arial"/>
        <family val="2"/>
      </rPr>
      <t xml:space="preserve">Adelmo Barros     </t>
    </r>
    <r>
      <rPr>
        <sz val="10"/>
        <rFont val="Arial"/>
        <family val="2"/>
      </rPr>
      <t xml:space="preserve">                                                                                                                                                                                                                                                                                                                                                                                                                                                                                                                                                                                                                                                                                                                                                                                                                                                                                                                                                                                                                                                                                                                                                                                                                                                                                                                                                                                                                                                                                                                                                                                                                                                                                                                                                                                                                                                                                                                                                        Engenheiro Sanitarista                                                                                                                                                                                                                                                                                                                                                                                                                                                                                                                                                                                                                                                                                                                                                                                                                                                                                                                                                                                                                                                                                                                                                                                                                                                                                                                                                                                                                                                                                                                                                                                                                                                                                                                                                                                                                                                                                                                                                                                                                                                                                                                                        CREA/MT:                </t>
    </r>
  </si>
  <si>
    <t xml:space="preserve">INSTALAÇÕES ELÉTRICAS </t>
  </si>
  <si>
    <t>Condulete PVC encaixe tipo LL 3/4"</t>
  </si>
  <si>
    <t>Bucha de nylon S6</t>
  </si>
  <si>
    <t>88 pç</t>
  </si>
  <si>
    <t>Parafuso fenda galvan. cab. Panela 4,2x32mm autoatarrachante</t>
  </si>
  <si>
    <t>Cabo Unipolar (cobre) Isol. XLPE - 0,6/1kV  16 mm²</t>
  </si>
  <si>
    <t>Cabo Unipolar (cobre) Isol. XLPE - 0,6/1kV  25 mm²</t>
  </si>
  <si>
    <t>Cabo Unipolar (cobre) Isol.PVC - 450/750V  1.5 mm²</t>
  </si>
  <si>
    <t>390.3 m</t>
  </si>
  <si>
    <t>Cabo Unipolar (cobre) Isol.PVC - 450/750V  2.5 mm²</t>
  </si>
  <si>
    <t>1144.1 m</t>
  </si>
  <si>
    <t>Cabo Unipolar (cobre) Isol.PVC - 450/750V  4 mm²</t>
  </si>
  <si>
    <t>Interruptor simples - 1 tecla C/  Placa 2x4"</t>
  </si>
  <si>
    <t>Tomada hexagonal (NBR 14136) (2) 2P+T 10A - Baixa C/ Placa 2x4"</t>
  </si>
  <si>
    <t>Tomada hexagonal (NBR 14136) 2P+T 10A Alta C/ Placa 2x4"</t>
  </si>
  <si>
    <t>Tomada hexagonal (NBR 14136) 2P+T 10A Baixa C/ Placa 2x4"</t>
  </si>
  <si>
    <t>Tomada hexagonal (NBR 14136) 2P+T 10A Média C/ Placa 2x4"</t>
  </si>
  <si>
    <t>Tomada hexagonal (NBR 14136) 2P+T 10A S/ placa</t>
  </si>
  <si>
    <t xml:space="preserve">Tampa cega PVC p/ condulete </t>
  </si>
  <si>
    <t>Disjuntor Unipolar Termomagnético - norma DIN  10 A - 10 kA</t>
  </si>
  <si>
    <t>Disjuntor tripolar termomagnético (220 V/127 V) - DIN  100 A - 40 kA</t>
  </si>
  <si>
    <t>Eletroduto  PVC encaixe c/ vara 3,0m 3/4"</t>
  </si>
  <si>
    <t>Eletroduto  PVC encaixe c/ vara 3,0m 3/4" em forro</t>
  </si>
  <si>
    <t>Eletroduto PVC flexível leve 1"</t>
  </si>
  <si>
    <t>Eletroduto PVC flexível leve 3/4"</t>
  </si>
  <si>
    <t>264.1 m</t>
  </si>
  <si>
    <t>Eletroduto PVC flexível leve 3/4" em parede</t>
  </si>
  <si>
    <t>Eletroduto  PVC flexível pesado 1.1/2"</t>
  </si>
  <si>
    <t>Entrada de serviço - CEMAT (Multiplex) Trifásico T4</t>
  </si>
  <si>
    <t>Lâmpadas Tubular Led 20W</t>
  </si>
  <si>
    <t>Quadro de medição - CEMAT Unidade consumidora individual - embutir</t>
  </si>
  <si>
    <t>Quadro distrib. chapa pintada - embutir Barr. trif., disj. geral - DIN  Cap. 32 disj. unip. - In barr. 150A</t>
  </si>
  <si>
    <t>PABX 50/300</t>
  </si>
  <si>
    <t>Plugue 110 IDC - 4 pares</t>
  </si>
  <si>
    <t>Plugue RJ45 (CM8v)</t>
  </si>
  <si>
    <t>59 pç</t>
  </si>
  <si>
    <t xml:space="preserve"> Anel organizador de cabos P/ Rack aberto 19"</t>
  </si>
  <si>
    <t>Cabo FTP-5e Blindado (24AWG)</t>
  </si>
  <si>
    <t>84 m</t>
  </si>
  <si>
    <t>Cabo  UTP-5e (24AWG)</t>
  </si>
  <si>
    <t>Caixa de passagem - embutir Alvenaria C/ Tampa 400x400x50mm</t>
  </si>
  <si>
    <t>1 MÓDULOS RJ45 CAT 6 - CAIXA DE PVC 4X2 ALTA EMBUTIR C/ Placa 2x4" - Branca</t>
  </si>
  <si>
    <t xml:space="preserve">1 módulo - RJ45 C/ Placa 2x4"  </t>
  </si>
  <si>
    <t xml:space="preserve">2 MÓDULOS RJ45 CAT 6 - CONDULETE PVC TIPO C 1" C/ Placa 2x4"  </t>
  </si>
  <si>
    <t xml:space="preserve">2 módulos - RJ45 C/ Placa 2x4"   </t>
  </si>
  <si>
    <t>Eletroduto,  PVC encaixe C/ vara 3,0m 3/4" em forro</t>
  </si>
  <si>
    <t>Eletroduto leve PVC flexível 1"</t>
  </si>
  <si>
    <t>Eletroduto leve PVC flexível 3/4"</t>
  </si>
  <si>
    <t>Eletroduto  PVC flexível pesado 1.1/4"</t>
  </si>
  <si>
    <t xml:space="preserve">SPDA </t>
  </si>
  <si>
    <t>Barramento de equipotencialização C/ 5 terminais</t>
  </si>
  <si>
    <t>138.25 m</t>
  </si>
  <si>
    <t xml:space="preserve">108.26 m </t>
  </si>
  <si>
    <t>40 LETRAS DE 20CM</t>
  </si>
  <si>
    <t>P5 - 2UN</t>
  </si>
  <si>
    <t>LIMPEZA TERRENO MAIS ATERRO DE BALDRAME, ATERRO DE MURETA  E ATERRO DA ETE</t>
  </si>
  <si>
    <t>ALTA FLORESTA,CONFRESA, GUARANTÃ DO NORTE E TANGARÁ DA SERRA</t>
  </si>
  <si>
    <t>0,00105/Kg * 10Km =  0,0105 KgxKm</t>
  </si>
  <si>
    <t>0,00002 Kg x 10Km = 0,0002 Kg xKm</t>
  </si>
  <si>
    <t>RETIRAR P2</t>
  </si>
  <si>
    <t>P5 - ACRESCER + 1 UN</t>
  </si>
  <si>
    <t>BEIRA RIO - FERNANDO CORREA</t>
  </si>
  <si>
    <t>20.939.127/0003-40</t>
  </si>
  <si>
    <t>Elaine C Silva Reis                                                                                                                2128-9400</t>
  </si>
  <si>
    <t>BIGOLIN - ACABAMENTOS E ACESSÓRIOS</t>
  </si>
  <si>
    <t>00.364.896/0001-98</t>
  </si>
  <si>
    <t>Rômulo Luiz de Oliveira                                                                   3615-9000</t>
  </si>
  <si>
    <t>MOINHO MATERIAIS PARA CONSTRUÇÃO</t>
  </si>
  <si>
    <t>07,790.953/0002-20</t>
  </si>
  <si>
    <t>NATANAEL                                                                                        9.9293-9860</t>
  </si>
  <si>
    <t xml:space="preserve">1CAIXA DE PISO --- 0,20 m²    </t>
  </si>
  <si>
    <t>0,20m²  -------- R$ 49,27                                                                                                                                                                              1m²  --------X                                                                                                                                                  X = R$ 246,35/m²</t>
  </si>
  <si>
    <t>MANTOVANI Engenharia e Automação</t>
  </si>
  <si>
    <t>17.738.504/0001-06</t>
  </si>
  <si>
    <t>Amanda R Gomes da Silva - 9.8422-8484</t>
  </si>
  <si>
    <t>SM - SERRALHERIA MENDES</t>
  </si>
  <si>
    <t>00.241.702/0001-67</t>
  </si>
  <si>
    <t>MENDES                                                       3653-6990/9962-2151</t>
  </si>
  <si>
    <t>SVG Metalúrgica</t>
  </si>
  <si>
    <t>18.979.315/0001-98</t>
  </si>
  <si>
    <t>contato@svgmetalurgica.com.br/ 3682-6168</t>
  </si>
  <si>
    <t>PAINEL EM MADEIRA DE ITAÚBA PARA BRISE EM FACHADA</t>
  </si>
  <si>
    <t>DANIEL                                                                                                                              3055-0702</t>
  </si>
  <si>
    <t>32.920.523/0001-42</t>
  </si>
  <si>
    <t>DIANA                                                                                             99307-4180</t>
  </si>
  <si>
    <t>JM DECKS E PERGOLADOS</t>
  </si>
  <si>
    <t>32.642.470/0001-45</t>
  </si>
  <si>
    <t>Marcos Antonio Brotto Jr                                                           9.9933-3569</t>
  </si>
  <si>
    <t>03.837.148/0001-73</t>
  </si>
  <si>
    <t>ART'OFICIAL - Comunicação Visual</t>
  </si>
  <si>
    <t>21.441.502/0001-28</t>
  </si>
  <si>
    <t>Katrine                                                                                                  9.9977-0781</t>
  </si>
  <si>
    <t>GRÁFICA PRINT</t>
  </si>
  <si>
    <t>73.783.649/0001-08</t>
  </si>
  <si>
    <t>Anne Brandão                                                                   3617-7600/9.9228-4530</t>
  </si>
  <si>
    <t>CUSTO DE FIXAÇÃO - R$ 750,00 para 193 letras</t>
  </si>
  <si>
    <t>Custo fixação por letra = R$ 3,88</t>
  </si>
  <si>
    <t>40*100+4*200=4800</t>
  </si>
  <si>
    <t>8960+170,72=9130,72</t>
  </si>
  <si>
    <t>Para 44 letras - R$ 170,72</t>
  </si>
  <si>
    <t>36.900.033/0001-35</t>
  </si>
  <si>
    <t>VIEIRA                                                                     3627-1590</t>
  </si>
  <si>
    <t>04.076.318/0001-07</t>
  </si>
  <si>
    <t>IN-NOVARE</t>
  </si>
  <si>
    <t>Camilo                                        3028-0383/9616-4710</t>
  </si>
  <si>
    <t>PORTAS VIDANY</t>
  </si>
  <si>
    <t>10.355.598/0001-95</t>
  </si>
  <si>
    <t>ADÃO                                                              9.9261-8268</t>
  </si>
  <si>
    <t>PORTAS PARANÁ</t>
  </si>
  <si>
    <t>33.059.676/0001-00</t>
  </si>
  <si>
    <t>3686-1297</t>
  </si>
  <si>
    <t>'PORTA EM MADEIRA LISA COMUM, ENCABEÇADA DE CORRER COM TRILHO DE ALUMÍNIO - 0,80 X 2,10 M</t>
  </si>
  <si>
    <t>CNN PRIME</t>
  </si>
  <si>
    <t>16.868.802/0001-58</t>
  </si>
  <si>
    <t>JUCILENE BARROS          36143500</t>
  </si>
  <si>
    <t>07.140.276/0002-03</t>
  </si>
  <si>
    <t>Elisangela Martins                                                                9.9253-2956</t>
  </si>
  <si>
    <t>BEIRA RIO  - 2 FERNANDO CORREA</t>
  </si>
  <si>
    <t>1362,34 (Cotação)- 55(FRETE)=1307,34</t>
  </si>
  <si>
    <t>MÓDULO 2,50X2,03m</t>
  </si>
  <si>
    <t>2,50 X 2,03 = 4,46 m²</t>
  </si>
  <si>
    <t xml:space="preserve"> 4,46 m² ---- R$ 2700,00             1 m²    ----  X                                                                                                      </t>
  </si>
  <si>
    <t>X = R$ 605,38/m²</t>
  </si>
  <si>
    <t>17.5.4</t>
  </si>
  <si>
    <t>FORNECIMENTO E INSTALAÇÃO DE PORTÃO DE CORRER DE  1,50 X 2,45 M,EM CHAPA MODELO GRADIL</t>
  </si>
  <si>
    <t>PORTÃO DE CORRER DE  1,50 X 2,45 M; EM CHAPA MODELO GRADIL</t>
  </si>
  <si>
    <t>PORTÃO DE CORRER DE  3,90X2,45 M,CHAPA MODELO GRADIL</t>
  </si>
  <si>
    <t>EVOLUÇÃO SEGURANÇA ELETRÔNICA</t>
  </si>
  <si>
    <t>25.063.508/0001-60</t>
  </si>
  <si>
    <t>LUCAS                                                                                                                                             3686-0023</t>
  </si>
  <si>
    <t>00.241.702/67</t>
  </si>
  <si>
    <t>CONJUNTO DE LETRAS EM CAIXA EM AÇO INOX BRILHANTE</t>
  </si>
  <si>
    <t>Conjunto de Letras em Caixa,aço inox brilhante, 4 letras tamanho 40 e 40 letras tamanho 20 cm</t>
  </si>
  <si>
    <t xml:space="preserve">BEIRAL </t>
  </si>
  <si>
    <t>ITEM 13.9 - QTITQTIVO ARQ</t>
  </si>
  <si>
    <t>Bibiane F da Silva                                                       3648-5700</t>
  </si>
  <si>
    <t>YAKAO - CUIABÁ/MT</t>
  </si>
  <si>
    <t>01.426.365/0001-45</t>
  </si>
  <si>
    <t>YAKAO.COM.BR</t>
  </si>
  <si>
    <t>Rodrigo Paiva                                                                   3634-6949</t>
  </si>
  <si>
    <t>MULTIFONE TECNOLOGIA</t>
  </si>
  <si>
    <t>00.551.775/0001-55</t>
  </si>
  <si>
    <t>Leandro D Degilio           3618-3906/8463-8889</t>
  </si>
  <si>
    <t>MULTISEG DISTRIBUIDORA</t>
  </si>
  <si>
    <t>09.029.376/0001-01</t>
  </si>
  <si>
    <t xml:space="preserve">  LÍGIA PESSOA                                                                                            3054-5595</t>
  </si>
  <si>
    <t>PARPULOV Eletroeletrônicos Ltda ME</t>
  </si>
  <si>
    <t>57.644.825/0001-66</t>
  </si>
  <si>
    <t>pontodigitalinfo.com.br</t>
  </si>
  <si>
    <t>22,90+27,46(FRETE)= 50,36</t>
  </si>
  <si>
    <t>PONTO DIGITAL Informática</t>
  </si>
  <si>
    <t>11.162.692/0001-90</t>
  </si>
  <si>
    <t>39+50,49(FRETE)=89,49</t>
  </si>
  <si>
    <t>PRIMETAL</t>
  </si>
  <si>
    <t>35.689.135/0001-90</t>
  </si>
  <si>
    <t>www.primetal.com.br</t>
  </si>
  <si>
    <t>373,71(RACK) e 199,34(FRETE)</t>
  </si>
  <si>
    <t>UPPER SEG - T.T. DOS SANTOS LTDA</t>
  </si>
  <si>
    <t>17.354.686/0001-88</t>
  </si>
  <si>
    <t>www.upperseg.com.br</t>
  </si>
  <si>
    <t>505,31(RACK) E 85,73(FRETE)</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</si>
  <si>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</si>
  <si>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</si>
  <si>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</si>
  <si>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</si>
  <si>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</si>
  <si>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ANEL ORGANIZADOR DE CABOS</t>
  </si>
  <si>
    <t>QUADRO DE COTAÇÕES - BANDEJA ( un  )</t>
  </si>
  <si>
    <t>QUADRO DE COTAÇÕES - ANEL ORGANIZADOR  ( un  )</t>
  </si>
  <si>
    <t>QUADRO DE COTAÇÕES - KIT PÉS NIVELADORES ( un  )</t>
  </si>
  <si>
    <t>COTELÉTRICA Materiais Elétricos</t>
  </si>
  <si>
    <t>07.237.858/0001-13</t>
  </si>
  <si>
    <t>Dirceu dos Santos                                                                                                                           3025-4300</t>
  </si>
  <si>
    <t>ZEUS DO BRASIL - O Shopping da Segurança</t>
  </si>
  <si>
    <t>82.699.588/0001-88</t>
  </si>
  <si>
    <t>Miriam Carolina Rosa                                          (47)3231-1111</t>
  </si>
  <si>
    <t>BRANEL Comércio de Materiais Elétricos Ltda</t>
  </si>
  <si>
    <t>07.624.206/0001-31</t>
  </si>
  <si>
    <t>CELSO                                                                                                                                                                         3027-9004/8116-6760</t>
  </si>
  <si>
    <t>ELETROFIOS MATERIAIS ELÉTRICOS</t>
  </si>
  <si>
    <t>Felipe M. S. Matos                                                                                3618-2500</t>
  </si>
  <si>
    <t>MULTI PADRÃO</t>
  </si>
  <si>
    <t>04.220.944/0001-25</t>
  </si>
  <si>
    <t>IZABELA                                                                (65)2123-2600</t>
  </si>
  <si>
    <t>SANTIL - Materiais Elétricos</t>
  </si>
  <si>
    <t>DISJUNTOR TERMOMAGNETICO TRIPOLAR 100 A-40KA, FORNECIMENTO E INSTALACAO</t>
  </si>
  <si>
    <t xml:space="preserve">DISJUNTOR TERMOMAGNETICO TRIPOLAR DIN 100A ,40 KA </t>
  </si>
  <si>
    <t>DISJUNTOR TERMOMAGNETICO TRIPOLAR 90 A-10KA, FORNECIMENTO E INSTALACAO</t>
  </si>
  <si>
    <t xml:space="preserve">PARAFUSO(1,75) E BUCHA(0,32) </t>
  </si>
  <si>
    <t xml:space="preserve">PARAFUSO(0,79) E BUCHA(0,27) </t>
  </si>
  <si>
    <t xml:space="preserve">PARAFUSO(0,88) E BUCHA(0,16) </t>
  </si>
  <si>
    <t>SWITCH (10/100)BASE TX + (1000)BASE T (24 + 2) PORTAS</t>
  </si>
  <si>
    <t>VERGA 10X10 CM EM CONCRETO PRÉ- MOLDADO FCK=20MPA</t>
  </si>
  <si>
    <t>Composição de referência para os coeficientes de consumo: 74200/001-SINAPI - 02/2016</t>
  </si>
  <si>
    <t>CONCRETO FCK = 20MPA, TRAÇO 1:2,6:2,9 (EM MASSA SECA DE CIMENTO/ AREIA MÉDIA/ SEIXO ROLADO) - PREPARO MECÂNICO COM BETONEIRA 400 L. AF_05/2021</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</si>
  <si>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</si>
  <si>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</si>
  <si>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</si>
  <si>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3*1,70m = 5,10m</t>
  </si>
  <si>
    <t>CONDULETE PVC ENCAIXE TIPO C 3/4"</t>
  </si>
  <si>
    <t>COMP ELE 34</t>
  </si>
  <si>
    <t>CONDULETE PVC ENCAIXE TIPO T  1"</t>
  </si>
  <si>
    <t>CONDULETE PVC ENCAIXE TIPO LR 3/4"</t>
  </si>
  <si>
    <t>COMP ELE 33</t>
  </si>
  <si>
    <t>CONDULETE PVC ENCAIXE TIPO LR  1"</t>
  </si>
  <si>
    <t>CONDULETE PVC ENCAIXE TIPO LL 3/4"</t>
  </si>
  <si>
    <t>C/ ENTRADA SERVIÇO</t>
  </si>
  <si>
    <r>
      <t xml:space="preserve">Eletroduto PVC encaixe c/ </t>
    </r>
    <r>
      <rPr>
        <sz val="11"/>
        <color rgb="FFFF0000"/>
        <rFont val="Calibri"/>
        <family val="2"/>
        <scheme val="minor"/>
      </rPr>
      <t>Braçadeira galvan. tipo cunha3/4"</t>
    </r>
  </si>
  <si>
    <r>
      <t>Eletroduto PVC encaixe c/</t>
    </r>
    <r>
      <rPr>
        <sz val="11"/>
        <color rgb="FFFF0000"/>
        <rFont val="Calibri"/>
        <family val="2"/>
        <scheme val="minor"/>
      </rPr>
      <t xml:space="preserve"> Braçadeira galvan. tipo unha 3/4"</t>
    </r>
  </si>
  <si>
    <t>DISJUNTOR TERMOMAGNETICO TRIPOLAR DIN 100A ,40 KA FORNECIMENTO E INSTALACAO</t>
  </si>
  <si>
    <r>
      <t xml:space="preserve">Eletroduto PVC encaixe C/ </t>
    </r>
    <r>
      <rPr>
        <sz val="11"/>
        <color rgb="FFFF0000"/>
        <rFont val="Calibri"/>
        <family val="2"/>
        <scheme val="minor"/>
      </rPr>
      <t>Braçadeira galvan. tipo cunha 3/4"</t>
    </r>
  </si>
  <si>
    <t>11.2.27</t>
  </si>
  <si>
    <t>11.2.28</t>
  </si>
  <si>
    <t>FIXAÇÃO UTILIZANDO PARAFUSO E BUCHA DE NYLON, SOMENTE MÃO DE OBRA. AF_10/2016</t>
  </si>
  <si>
    <t>BUCHA DE NYLON SEM ABA S6, COM PARAFUSO DE 4,20 X 40 MM EM ACO ZINCADO COM ROSCA SOBERBA, CABECA CHATA E FENDA PHILLIPS</t>
  </si>
  <si>
    <t>PARAFUSO EM AÇO ZINCADO COM ROSCA SOBERBA, CABEÇA CHATA E FENDA PHILLIPS COM BUCHA DE NYLON S6 - FORNECIMENTO E FIXAÇÃO</t>
  </si>
  <si>
    <t>11.2.29</t>
  </si>
  <si>
    <t>Composição de referência para os coeficientes de consumo: 40.20.240/CPOS-JUN/20</t>
  </si>
  <si>
    <t>CONECTOR 110 IDC - 4 PARES</t>
  </si>
  <si>
    <t>NET COMPUTADORES - CASA DA TI</t>
  </si>
  <si>
    <t>02.465.944/0001-60</t>
  </si>
  <si>
    <t>netcomputadores.com.br  (19)3481-2667</t>
  </si>
  <si>
    <t>228,94 E 22,10 FRETE</t>
  </si>
  <si>
    <t>LOJA ELÉTRICA LTDA</t>
  </si>
  <si>
    <t>CABO DE REDE FTP 5E (24 AWG)</t>
  </si>
  <si>
    <t>Composição de referência para os coeficientes de consumo: 12336/ORSE-02/2021</t>
  </si>
  <si>
    <t>CABO DE REDE BLINDADO FTP 5E 24 AWG</t>
  </si>
  <si>
    <t>R$832,00/305m</t>
  </si>
  <si>
    <t>Composição de referência para os coeficientes de consumo:067127/SBC - 04/2018</t>
  </si>
  <si>
    <t>ELETROTÉCNICO COM ENCARGOS COMPLEMENTARES</t>
  </si>
  <si>
    <t>FORNECIMENTO E INSTALAÇÃO DE CENTRAL TELEFÔNICA PABX 50/300</t>
  </si>
  <si>
    <t>CELETTI</t>
  </si>
  <si>
    <t>36.346.306/0001-41</t>
  </si>
  <si>
    <t>www.celeti.com.br</t>
  </si>
  <si>
    <t>899,00(PABX) e 353,07(RAMAIS)</t>
  </si>
  <si>
    <t>951,81(PABX) e 353,07(RAMAIS)</t>
  </si>
  <si>
    <t>QUADRO DE COTAÇÕES  - RAMAIS ( un  )</t>
  </si>
  <si>
    <t>upperseg.com.br</t>
  </si>
  <si>
    <t>303,91(ramais) e 49,16(frete)</t>
  </si>
  <si>
    <t>INTELBRAS</t>
  </si>
  <si>
    <t>82.901.000/0001-27</t>
  </si>
  <si>
    <t>lojaintelbras.com.br</t>
  </si>
  <si>
    <t>MENOR PREÇO</t>
  </si>
  <si>
    <t>COM 3 METROS</t>
  </si>
  <si>
    <t>CONDULETE EM PVC, TIPO "C", SEM TAMPA, DE 3/4"</t>
  </si>
  <si>
    <t>CONDULETE EM PVC, TIPO "LR", SEM TAMPA, DE 3/4"</t>
  </si>
  <si>
    <t>COMP ELE 35</t>
  </si>
  <si>
    <t>COMP ELE 36</t>
  </si>
  <si>
    <t>CONDULETE EM PVC, TIPO "LR", SEM TAMPA, DE 1"</t>
  </si>
  <si>
    <t>COMP ELE 37</t>
  </si>
  <si>
    <t>COMP ELE 38</t>
  </si>
  <si>
    <t>COMP ELE 39</t>
  </si>
  <si>
    <t>CONDULETE PVC ENCAIXE TIPO LL  3/4"</t>
  </si>
  <si>
    <t>CONDULETE EM PVC, TIPO "LL", SEM TAMPA, DE 1/2" OU 3/4"</t>
  </si>
  <si>
    <t>7+8+2=17</t>
  </si>
  <si>
    <t>65 m</t>
  </si>
  <si>
    <t>277.25 m</t>
  </si>
  <si>
    <t>8.55 m</t>
  </si>
  <si>
    <t>20.9 m</t>
  </si>
  <si>
    <r>
      <t>190,40</t>
    </r>
    <r>
      <rPr>
        <sz val="11"/>
        <rFont val="Arial"/>
        <family val="2"/>
      </rPr>
      <t>m³</t>
    </r>
    <r>
      <rPr>
        <sz val="10"/>
        <rFont val="Arial"/>
        <family val="2"/>
      </rPr>
      <t>*30Km=5712,00 m³*Km</t>
    </r>
  </si>
  <si>
    <t>190,40=(1570 m² * 0,20 m (altura)* 0,4 empolamento)+12,08m³*0,40(ETE)+40,02m³(VIGA BALD)+19,95m³ (MURETA)</t>
  </si>
  <si>
    <t>148,54m² * 0,05m = 7,43m³</t>
  </si>
  <si>
    <t>133,02 + 9,03(ETE) = 142,05m²</t>
  </si>
  <si>
    <t>9+6=15 ( 6 OITIS + 9 IPÊS)</t>
  </si>
  <si>
    <t>907 un * 0,25m/un = 226,75m</t>
  </si>
  <si>
    <t xml:space="preserve">UPPER SEG </t>
  </si>
  <si>
    <t>17354.683/0001-88</t>
  </si>
  <si>
    <t>99,66 + 52,23 =151,89</t>
  </si>
  <si>
    <t>NET COMPUTADORES - Hardware para TI Empresarial</t>
  </si>
  <si>
    <t>netcomputadores.com.br</t>
  </si>
  <si>
    <t>175,89 + 37,40 =213,29</t>
  </si>
  <si>
    <t>TERMO TUBOS</t>
  </si>
  <si>
    <t>lojatermotubos.com.br</t>
  </si>
  <si>
    <t>890,87/50m= R$ 17,80/m</t>
  </si>
  <si>
    <t>17,80+31,82=49,62</t>
  </si>
  <si>
    <t>VIEW TECH</t>
  </si>
  <si>
    <t>viewtech.com.br</t>
  </si>
  <si>
    <t>8,70+31,82=40,52</t>
  </si>
  <si>
    <t>BAKELITSUL</t>
  </si>
  <si>
    <t>bakelitsul.com.br/orçamento</t>
  </si>
  <si>
    <t>4*6,15 (Pés)+ 31,36 = 55,96</t>
  </si>
  <si>
    <t>32,89 (Pés)+ 20,31 = 53,20</t>
  </si>
  <si>
    <t>17.155.342/0010-74</t>
  </si>
  <si>
    <t>www.lojaeletrica.com.br</t>
  </si>
  <si>
    <t>187,39 e 14,30 (FRETE)</t>
  </si>
  <si>
    <t>DADOS DA REDE</t>
  </si>
  <si>
    <t>24.454.490/0001-64</t>
  </si>
  <si>
    <t>dadosdarede.com</t>
  </si>
  <si>
    <t>13,91 E 19,33 (FRETE)</t>
  </si>
  <si>
    <t>23.479.154/0001-03</t>
  </si>
  <si>
    <t>07.327.325/0001-22</t>
  </si>
  <si>
    <t>03.429.474/0001-41</t>
  </si>
  <si>
    <t>Calçadas  no entorno do terreno, Acesso de pedestre e Apoio Técnico</t>
  </si>
  <si>
    <t>799,23+13,70+77,85</t>
  </si>
  <si>
    <t>EXECUÇÃO DE PASSEIO (CALÇADA) OU PISO DE CONCRETO COM CONCRETO MOLDADO IN LOCO, FEITO EM OBRA, ACABAMENTO CONVENCIONAL, ESPESSURA 8 CM, ARMADO. AF_07/2016</t>
  </si>
  <si>
    <t>18.5</t>
  </si>
  <si>
    <t>18.6</t>
  </si>
  <si>
    <t>18.11</t>
  </si>
  <si>
    <t>CALÇADAS INTERNAS(91,55) E EXTERNAS(799,23)</t>
  </si>
  <si>
    <t>hum milhão, quinhentos e setenta e dois mil, vinte e três reais e oitenta e dois centavos</t>
  </si>
  <si>
    <t>Vlr Unit C/ BDI</t>
  </si>
  <si>
    <t>49.474.698/0008-63</t>
  </si>
  <si>
    <t>santil.com.br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</si>
</sst>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quot;R$&quot;\ #,##0.00"/>
    <numFmt numFmtId="176" formatCode="0.000"/>
    <numFmt numFmtId="177" formatCode="#,##0.000000;[Red]#,##0.000000"/>
    <numFmt numFmtId="178" formatCode="#,##0.00000"/>
    <numFmt numFmtId="179" formatCode="#,##0.00000;[Red]#,##0.00000"/>
    <numFmt numFmtId="180" formatCode="0.00000"/>
    <numFmt numFmtId="181" formatCode="0.00&quot;m&quot;"/>
    <numFmt numFmtId="182" formatCode="#,##0.0000000;[Red]#,##0.0000000"/>
  </numFmts>
  <fonts count="100">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4"/>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sz val="10"/>
      <color rgb="FFFF0000"/>
      <name val="Calibri"/>
      <family val="2"/>
      <scheme val="minor"/>
    </font>
    <font>
      <b/>
      <sz val="10"/>
      <color rgb="FFFF0000"/>
      <name val="Arial"/>
      <family val="2"/>
    </font>
    <font>
      <b/>
      <sz val="11"/>
      <color theme="1"/>
      <name val="Calibri"/>
      <family val="2"/>
      <scheme val="minor"/>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4"/>
      <color rgb="FFFF0000"/>
      <name val="Arial"/>
      <family val="2"/>
    </font>
    <font>
      <b/>
      <sz val="12"/>
      <name val="Calibri"/>
      <family val="2"/>
      <scheme val="minor"/>
    </font>
    <font>
      <sz val="8"/>
      <name val="Arial"/>
      <family val="2"/>
    </font>
    <font>
      <sz val="9"/>
      <color rgb="FFFF0000"/>
      <name val="Arial"/>
      <family val="2"/>
    </font>
    <font>
      <sz val="20"/>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11"/>
      <color theme="1"/>
      <name val="Calibri"/>
      <family val="2"/>
    </font>
    <font>
      <b/>
      <sz val="11"/>
      <name val="Calibri"/>
      <family val="2"/>
      <scheme val="minor"/>
    </font>
    <font>
      <b/>
      <sz val="11"/>
      <color indexed="8"/>
      <name val="Arial"/>
      <family val="2"/>
    </font>
    <font>
      <sz val="9"/>
      <color indexed="10"/>
      <name val="Arial"/>
      <family val="2"/>
    </font>
    <font>
      <b/>
      <sz val="9"/>
      <color indexed="10"/>
      <name val="Arial"/>
      <family val="2"/>
    </font>
    <font>
      <b/>
      <sz val="9"/>
      <color theme="1"/>
      <name val="Arial"/>
      <family val="2"/>
    </font>
    <font>
      <b/>
      <sz val="9"/>
      <color indexed="22"/>
      <name val="Arial"/>
      <family val="2"/>
    </font>
    <font>
      <b/>
      <sz val="13"/>
      <color theme="1"/>
      <name val="Calibri"/>
      <family val="2"/>
      <scheme val="minor"/>
    </font>
    <font>
      <b/>
      <sz val="14"/>
      <color rgb="FF000000"/>
      <name val="Arial"/>
      <family val="2"/>
    </font>
    <font>
      <b/>
      <sz val="12"/>
      <color rgb="FF000000"/>
      <name val="Calibri"/>
      <family val="2"/>
      <scheme val="minor"/>
    </font>
    <font>
      <sz val="9"/>
      <color rgb="FF000000"/>
      <name val="Times New Roman"/>
      <family val="1"/>
    </font>
    <font>
      <u/>
      <sz val="11"/>
      <color theme="10"/>
      <name val="Calibri"/>
      <family val="2"/>
      <scheme val="minor"/>
    </font>
  </fonts>
  <fills count="46">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rgb="FF000000"/>
      </patternFill>
    </fill>
    <fill>
      <patternFill patternType="solid">
        <fgColor rgb="FFD9D9D9"/>
        <bgColor indexed="64"/>
      </patternFill>
    </fill>
    <fill>
      <patternFill patternType="solid">
        <fgColor rgb="FFFFFFFF"/>
        <bgColor indexed="64"/>
      </patternFill>
    </fill>
    <fill>
      <patternFill patternType="solid">
        <fgColor rgb="FF00B0F0"/>
        <bgColor rgb="FF000000"/>
      </patternFill>
    </fill>
    <fill>
      <patternFill patternType="solid">
        <fgColor theme="0" tint="-4.9989318521683403E-2"/>
        <bgColor rgb="FF000000"/>
      </patternFill>
    </fill>
  </fills>
  <borders count="114">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rgb="FFDDDDDD"/>
      </top>
      <bottom/>
      <diagonal/>
    </border>
    <border>
      <left style="medium">
        <color indexed="64"/>
      </left>
      <right style="medium">
        <color indexed="64"/>
      </right>
      <top/>
      <bottom style="thin">
        <color indexed="64"/>
      </bottom>
      <diagonal/>
    </border>
    <border>
      <left style="hair">
        <color indexed="64"/>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s>
  <cellStyleXfs count="57">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33" fillId="0" borderId="0"/>
    <xf numFmtId="0" fontId="33" fillId="0" borderId="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6"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3" borderId="0" applyNumberFormat="0" applyBorder="0" applyAlignment="0" applyProtection="0"/>
    <xf numFmtId="0" fontId="38" fillId="8" borderId="0" applyNumberFormat="0" applyBorder="0" applyAlignment="0" applyProtection="0"/>
    <xf numFmtId="0" fontId="39" fillId="27" borderId="64" applyNumberFormat="0" applyAlignment="0" applyProtection="0"/>
    <xf numFmtId="0" fontId="53" fillId="28" borderId="64" applyNumberFormat="0" applyAlignment="0" applyProtection="0"/>
    <xf numFmtId="0" fontId="40" fillId="29" borderId="65" applyNumberFormat="0" applyAlignment="0" applyProtection="0"/>
    <xf numFmtId="0" fontId="46" fillId="18" borderId="64" applyNumberFormat="0" applyAlignment="0" applyProtection="0"/>
    <xf numFmtId="0" fontId="41" fillId="0" borderId="0" applyNumberFormat="0" applyFill="0" applyBorder="0" applyAlignment="0" applyProtection="0"/>
    <xf numFmtId="0" fontId="42" fillId="9" borderId="0" applyNumberFormat="0" applyBorder="0" applyAlignment="0" applyProtection="0"/>
    <xf numFmtId="0" fontId="43" fillId="0" borderId="66" applyNumberFormat="0" applyFill="0" applyAlignment="0" applyProtection="0"/>
    <xf numFmtId="0" fontId="44" fillId="0" borderId="67" applyNumberFormat="0" applyFill="0" applyAlignment="0" applyProtection="0"/>
    <xf numFmtId="0" fontId="45" fillId="0" borderId="68" applyNumberFormat="0" applyFill="0" applyAlignment="0" applyProtection="0"/>
    <xf numFmtId="0" fontId="45" fillId="0" borderId="0" applyNumberFormat="0" applyFill="0" applyBorder="0" applyAlignment="0" applyProtection="0"/>
    <xf numFmtId="0" fontId="38" fillId="10" borderId="0" applyNumberFormat="0" applyBorder="0" applyAlignment="0" applyProtection="0"/>
    <xf numFmtId="0" fontId="46" fillId="12" borderId="64" applyNumberFormat="0" applyAlignment="0" applyProtection="0"/>
    <xf numFmtId="0" fontId="47" fillId="0" borderId="69" applyNumberFormat="0" applyFill="0" applyAlignment="0" applyProtection="0"/>
    <xf numFmtId="0" fontId="48" fillId="18" borderId="0" applyNumberFormat="0" applyBorder="0" applyAlignment="0" applyProtection="0"/>
    <xf numFmtId="0" fontId="10" fillId="15" borderId="70" applyNumberFormat="0" applyFont="0" applyAlignment="0" applyProtection="0"/>
    <xf numFmtId="0" fontId="33" fillId="15" borderId="70" applyNumberFormat="0" applyFont="0" applyAlignment="0" applyProtection="0"/>
    <xf numFmtId="0" fontId="49" fillId="27" borderId="71" applyNumberFormat="0" applyAlignment="0" applyProtection="0"/>
    <xf numFmtId="0" fontId="49" fillId="28" borderId="71" applyNumberFormat="0" applyAlignment="0" applyProtection="0"/>
    <xf numFmtId="0" fontId="52"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54" fillId="0" borderId="0" applyNumberFormat="0" applyFill="0" applyBorder="0" applyAlignment="0" applyProtection="0"/>
    <xf numFmtId="0" fontId="51" fillId="0" borderId="72" applyNumberFormat="0" applyFill="0" applyAlignment="0" applyProtection="0"/>
    <xf numFmtId="0" fontId="52" fillId="0" borderId="0" applyNumberFormat="0" applyFill="0" applyBorder="0" applyAlignment="0" applyProtection="0"/>
    <xf numFmtId="0" fontId="33" fillId="0" borderId="0"/>
    <xf numFmtId="0" fontId="99" fillId="0" borderId="0" applyNumberFormat="0" applyFill="0" applyBorder="0" applyAlignment="0" applyProtection="0"/>
  </cellStyleXfs>
  <cellXfs count="2673">
    <xf numFmtId="0" fontId="0" fillId="0" borderId="0" xfId="0"/>
    <xf numFmtId="0" fontId="9" fillId="0" borderId="0" xfId="0" applyFont="1" applyBorder="1" applyAlignment="1">
      <alignment horizontal="center" vertical="center" wrapText="1"/>
    </xf>
    <xf numFmtId="2" fontId="9" fillId="0" borderId="0" xfId="0" applyNumberFormat="1" applyFont="1" applyBorder="1" applyAlignment="1">
      <alignment vertical="center" wrapText="1"/>
    </xf>
    <xf numFmtId="0" fontId="9" fillId="0" borderId="0" xfId="0" applyFont="1" applyBorder="1" applyAlignment="1">
      <alignment vertical="center"/>
    </xf>
    <xf numFmtId="0" fontId="9" fillId="0" borderId="6" xfId="0" applyFont="1" applyFill="1" applyBorder="1" applyAlignment="1">
      <alignment horizontal="justify" vertical="center" wrapText="1"/>
    </xf>
    <xf numFmtId="0" fontId="7" fillId="0" borderId="0" xfId="0" applyFont="1" applyBorder="1" applyAlignment="1">
      <alignment horizontal="justify" vertical="center" wrapText="1"/>
    </xf>
    <xf numFmtId="4" fontId="7" fillId="0" borderId="8" xfId="0" applyNumberFormat="1" applyFont="1" applyBorder="1" applyAlignment="1">
      <alignment horizontal="right" vertical="center"/>
    </xf>
    <xf numFmtId="4" fontId="7" fillId="0" borderId="15" xfId="2" applyNumberFormat="1" applyFont="1" applyFill="1" applyBorder="1" applyAlignment="1">
      <alignment horizontal="center" vertical="center" wrapText="1"/>
    </xf>
    <xf numFmtId="39" fontId="7" fillId="4" borderId="7" xfId="0" applyNumberFormat="1" applyFont="1" applyFill="1" applyBorder="1" applyAlignment="1">
      <alignment horizontal="right" vertical="center" wrapText="1"/>
    </xf>
    <xf numFmtId="10" fontId="9" fillId="0" borderId="0" xfId="0" applyNumberFormat="1" applyFont="1" applyBorder="1" applyAlignment="1">
      <alignment vertical="center"/>
    </xf>
    <xf numFmtId="0" fontId="7" fillId="0" borderId="16" xfId="0" applyFont="1" applyBorder="1" applyAlignment="1">
      <alignment horizontal="center" vertical="center"/>
    </xf>
    <xf numFmtId="43" fontId="9" fillId="0" borderId="14" xfId="1" applyFont="1" applyFill="1" applyBorder="1" applyAlignment="1">
      <alignment vertical="center"/>
    </xf>
    <xf numFmtId="0" fontId="9" fillId="0" borderId="14" xfId="0" applyFont="1" applyFill="1" applyBorder="1" applyAlignment="1">
      <alignment horizontal="center" vertical="center"/>
    </xf>
    <xf numFmtId="43" fontId="9" fillId="0" borderId="14" xfId="1" applyFont="1" applyFill="1" applyBorder="1" applyAlignment="1">
      <alignment horizontal="center" vertical="center"/>
    </xf>
    <xf numFmtId="10" fontId="9" fillId="0" borderId="14" xfId="0" applyNumberFormat="1" applyFont="1" applyFill="1" applyBorder="1" applyAlignment="1">
      <alignment horizontal="center" vertical="center"/>
    </xf>
    <xf numFmtId="2" fontId="9" fillId="0" borderId="19" xfId="0" applyNumberFormat="1" applyFont="1" applyBorder="1" applyAlignment="1">
      <alignment horizontal="center" vertical="center"/>
    </xf>
    <xf numFmtId="10" fontId="9" fillId="0" borderId="8" xfId="0" applyNumberFormat="1" applyFont="1" applyBorder="1" applyAlignment="1">
      <alignment horizontal="center" vertical="center"/>
    </xf>
    <xf numFmtId="0" fontId="9" fillId="0" borderId="8" xfId="0" applyFont="1" applyFill="1" applyBorder="1" applyAlignment="1">
      <alignment horizontal="justify" vertical="center" wrapText="1"/>
    </xf>
    <xf numFmtId="0" fontId="9" fillId="0" borderId="21" xfId="0" applyFont="1" applyFill="1" applyBorder="1" applyAlignment="1">
      <alignment horizontal="center" vertical="center"/>
    </xf>
    <xf numFmtId="0" fontId="7" fillId="4" borderId="22" xfId="0" applyFont="1" applyFill="1" applyBorder="1" applyAlignment="1">
      <alignment horizontal="right" vertical="center"/>
    </xf>
    <xf numFmtId="10" fontId="7" fillId="0" borderId="22" xfId="0" applyNumberFormat="1" applyFont="1" applyBorder="1" applyAlignment="1">
      <alignment horizontal="center" vertical="center"/>
    </xf>
    <xf numFmtId="0" fontId="9" fillId="0" borderId="23" xfId="0" applyFont="1" applyFill="1" applyBorder="1" applyAlignment="1">
      <alignment horizontal="center" vertical="center"/>
    </xf>
    <xf numFmtId="0" fontId="7" fillId="4" borderId="14" xfId="0" applyFont="1" applyFill="1" applyBorder="1" applyAlignment="1">
      <alignment horizontal="right" vertical="center"/>
    </xf>
    <xf numFmtId="165" fontId="9" fillId="0" borderId="14" xfId="0" applyNumberFormat="1" applyFont="1" applyFill="1" applyBorder="1" applyAlignment="1">
      <alignment vertical="center"/>
    </xf>
    <xf numFmtId="4" fontId="9" fillId="0" borderId="14" xfId="2" applyNumberFormat="1" applyFont="1" applyFill="1" applyBorder="1" applyAlignment="1">
      <alignment horizontal="center" vertical="center"/>
    </xf>
    <xf numFmtId="10" fontId="7" fillId="0" borderId="14"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4" xfId="0" applyNumberFormat="1" applyFont="1" applyBorder="1" applyAlignment="1">
      <alignment horizontal="center" vertical="center"/>
    </xf>
    <xf numFmtId="4" fontId="9" fillId="0" borderId="8" xfId="2" applyNumberFormat="1" applyFont="1" applyFill="1" applyBorder="1" applyAlignment="1" applyProtection="1">
      <alignment horizontal="center" vertical="center"/>
      <protection locked="0"/>
    </xf>
    <xf numFmtId="4" fontId="7" fillId="0" borderId="22" xfId="2"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9" fillId="0" borderId="8" xfId="0" applyNumberFormat="1" applyFont="1" applyBorder="1" applyAlignment="1">
      <alignment horizontal="center" vertical="center"/>
    </xf>
    <xf numFmtId="0" fontId="15" fillId="0" borderId="6" xfId="0" applyFont="1" applyBorder="1" applyAlignment="1">
      <alignment horizontal="center" vertical="center" wrapText="1"/>
    </xf>
    <xf numFmtId="4" fontId="7" fillId="0" borderId="1" xfId="0" applyNumberFormat="1" applyFont="1" applyBorder="1" applyAlignment="1">
      <alignment horizontal="right" vertical="center"/>
    </xf>
    <xf numFmtId="0" fontId="7" fillId="0" borderId="0" xfId="0" applyFont="1" applyBorder="1" applyAlignment="1">
      <alignment horizontal="center" vertical="center" wrapText="1"/>
    </xf>
    <xf numFmtId="0" fontId="18" fillId="0" borderId="12" xfId="0" applyFont="1" applyBorder="1" applyAlignment="1">
      <alignment vertical="center" wrapText="1"/>
    </xf>
    <xf numFmtId="0" fontId="9" fillId="0" borderId="44" xfId="0" applyFont="1" applyBorder="1" applyAlignment="1">
      <alignment vertical="center"/>
    </xf>
    <xf numFmtId="0" fontId="14" fillId="0" borderId="34" xfId="0" applyFont="1" applyBorder="1" applyAlignment="1">
      <alignment horizontal="center" vertical="center"/>
    </xf>
    <xf numFmtId="0" fontId="9" fillId="0" borderId="30" xfId="0" applyFont="1" applyBorder="1" applyAlignment="1">
      <alignment vertical="center"/>
    </xf>
    <xf numFmtId="10" fontId="7" fillId="0" borderId="13" xfId="1" applyNumberFormat="1" applyFont="1" applyBorder="1" applyAlignment="1">
      <alignment vertical="center" wrapText="1"/>
    </xf>
    <xf numFmtId="169" fontId="7" fillId="0" borderId="13" xfId="1" applyNumberFormat="1" applyFont="1" applyBorder="1" applyAlignment="1">
      <alignment vertical="center" wrapText="1"/>
    </xf>
    <xf numFmtId="2" fontId="9" fillId="0" borderId="46" xfId="0" applyNumberFormat="1" applyFont="1" applyBorder="1" applyAlignment="1">
      <alignment horizontal="right" vertical="center" wrapText="1"/>
    </xf>
    <xf numFmtId="0" fontId="9" fillId="0" borderId="46" xfId="0" applyFont="1" applyBorder="1" applyAlignment="1">
      <alignment horizontal="center" vertical="center" wrapText="1"/>
    </xf>
    <xf numFmtId="4" fontId="7" fillId="0" borderId="46" xfId="1" applyNumberFormat="1" applyFont="1" applyBorder="1" applyAlignment="1">
      <alignment horizontal="right" vertical="center" wrapText="1"/>
    </xf>
    <xf numFmtId="0" fontId="2" fillId="0" borderId="34" xfId="0" applyFont="1" applyBorder="1" applyAlignment="1">
      <alignment horizontal="center" vertical="center"/>
    </xf>
    <xf numFmtId="0" fontId="17" fillId="0" borderId="0" xfId="0" applyFont="1" applyBorder="1" applyAlignment="1">
      <alignment horizontal="left" vertical="center"/>
    </xf>
    <xf numFmtId="0" fontId="0" fillId="0" borderId="0" xfId="0" applyBorder="1"/>
    <xf numFmtId="166" fontId="7" fillId="0" borderId="31" xfId="0" applyNumberFormat="1" applyFont="1" applyBorder="1" applyAlignment="1">
      <alignment horizontal="center" vertical="center" wrapText="1"/>
    </xf>
    <xf numFmtId="0" fontId="7" fillId="4" borderId="7" xfId="0" applyFont="1" applyFill="1" applyBorder="1" applyAlignment="1">
      <alignment horizontal="right" vertical="center"/>
    </xf>
    <xf numFmtId="4" fontId="9" fillId="0" borderId="6" xfId="0" applyNumberFormat="1" applyFont="1" applyFill="1" applyBorder="1" applyAlignment="1">
      <alignment horizontal="center" vertical="center"/>
    </xf>
    <xf numFmtId="10" fontId="9" fillId="0" borderId="6" xfId="0" applyNumberFormat="1" applyFont="1" applyBorder="1" applyAlignment="1">
      <alignment horizontal="center" vertical="center"/>
    </xf>
    <xf numFmtId="10" fontId="9" fillId="0" borderId="8" xfId="0" applyNumberFormat="1" applyFont="1" applyFill="1" applyBorder="1" applyAlignment="1">
      <alignment horizontal="center" vertical="center"/>
    </xf>
    <xf numFmtId="4" fontId="9" fillId="0" borderId="0" xfId="0" applyNumberFormat="1" applyFont="1" applyFill="1" applyBorder="1" applyAlignment="1">
      <alignment horizontal="center" vertical="center"/>
    </xf>
    <xf numFmtId="10" fontId="7" fillId="0" borderId="41" xfId="0" applyNumberFormat="1" applyFont="1" applyBorder="1" applyAlignment="1">
      <alignment vertical="center"/>
    </xf>
    <xf numFmtId="0" fontId="9" fillId="0" borderId="8" xfId="0" applyFont="1" applyBorder="1" applyAlignment="1">
      <alignment horizontal="left" vertical="center"/>
    </xf>
    <xf numFmtId="2" fontId="9" fillId="0" borderId="8" xfId="1" applyNumberFormat="1" applyFont="1" applyFill="1" applyBorder="1" applyAlignment="1">
      <alignment horizontal="center" vertical="center"/>
    </xf>
    <xf numFmtId="0" fontId="16" fillId="0" borderId="34" xfId="0" applyFont="1" applyBorder="1" applyAlignment="1">
      <alignment vertical="center"/>
    </xf>
    <xf numFmtId="164" fontId="16" fillId="0" borderId="34" xfId="0" applyNumberFormat="1" applyFont="1" applyFill="1" applyBorder="1" applyAlignment="1">
      <alignment vertical="center"/>
    </xf>
    <xf numFmtId="0" fontId="16" fillId="0" borderId="28" xfId="0" applyFont="1" applyFill="1" applyBorder="1" applyAlignment="1">
      <alignment vertical="center"/>
    </xf>
    <xf numFmtId="0" fontId="16" fillId="0" borderId="0" xfId="0" applyFont="1" applyFill="1" applyBorder="1" applyAlignment="1">
      <alignment vertical="center"/>
    </xf>
    <xf numFmtId="0" fontId="16" fillId="0" borderId="13" xfId="0" applyFont="1" applyFill="1" applyBorder="1" applyAlignment="1">
      <alignment vertical="center"/>
    </xf>
    <xf numFmtId="0" fontId="0" fillId="0" borderId="0" xfId="0" applyFill="1" applyBorder="1"/>
    <xf numFmtId="0" fontId="16" fillId="0" borderId="34"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48" xfId="0" applyFont="1" applyBorder="1" applyAlignment="1">
      <alignment vertical="center" wrapText="1"/>
    </xf>
    <xf numFmtId="0" fontId="16" fillId="0" borderId="46" xfId="0" applyFont="1" applyBorder="1" applyAlignment="1">
      <alignment vertical="center" wrapText="1"/>
    </xf>
    <xf numFmtId="0" fontId="5" fillId="0" borderId="46" xfId="0" applyFont="1" applyBorder="1" applyAlignment="1">
      <alignment horizontal="center" vertical="center" wrapText="1"/>
    </xf>
    <xf numFmtId="0" fontId="6" fillId="0" borderId="46" xfId="0" applyFont="1" applyBorder="1" applyAlignment="1">
      <alignment vertical="center" wrapText="1"/>
    </xf>
    <xf numFmtId="0" fontId="5" fillId="0" borderId="0" xfId="0" applyFont="1" applyBorder="1" applyAlignment="1">
      <alignment horizontal="center" vertical="center" wrapText="1"/>
    </xf>
    <xf numFmtId="0" fontId="6" fillId="0" borderId="0" xfId="0" applyFont="1" applyBorder="1" applyAlignment="1">
      <alignment vertical="center" wrapText="1"/>
    </xf>
    <xf numFmtId="0" fontId="16" fillId="0" borderId="0" xfId="0" applyFont="1" applyBorder="1" applyAlignment="1">
      <alignment vertical="center"/>
    </xf>
    <xf numFmtId="0" fontId="3" fillId="0" borderId="0" xfId="0" applyFont="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0" fontId="16" fillId="0" borderId="26" xfId="0" applyFont="1" applyBorder="1" applyAlignment="1">
      <alignment vertical="center"/>
    </xf>
    <xf numFmtId="0" fontId="16" fillId="0" borderId="12" xfId="0" applyFont="1" applyBorder="1" applyAlignment="1">
      <alignment vertical="center"/>
    </xf>
    <xf numFmtId="0" fontId="9" fillId="0" borderId="34" xfId="0" applyFont="1" applyBorder="1" applyAlignment="1">
      <alignment horizontal="center" vertical="center" wrapText="1"/>
    </xf>
    <xf numFmtId="2" fontId="9" fillId="0" borderId="34" xfId="0" applyNumberFormat="1" applyFont="1" applyBorder="1" applyAlignment="1">
      <alignment vertical="center" wrapText="1"/>
    </xf>
    <xf numFmtId="0" fontId="9" fillId="0" borderId="34" xfId="0" applyFont="1" applyBorder="1" applyAlignment="1">
      <alignment vertical="center" wrapText="1"/>
    </xf>
    <xf numFmtId="0" fontId="18" fillId="4" borderId="24" xfId="0" applyFont="1" applyFill="1" applyBorder="1" applyAlignment="1">
      <alignment vertic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171" fontId="18" fillId="0" borderId="6" xfId="0" applyNumberFormat="1" applyFont="1" applyBorder="1" applyAlignment="1">
      <alignment horizontal="center" vertical="center" wrapText="1"/>
    </xf>
    <xf numFmtId="167" fontId="18" fillId="0" borderId="6" xfId="0" applyNumberFormat="1" applyFont="1" applyBorder="1" applyAlignment="1">
      <alignment horizontal="center" vertical="center" wrapText="1"/>
    </xf>
    <xf numFmtId="167" fontId="18" fillId="0" borderId="16" xfId="0" applyNumberFormat="1" applyFont="1" applyBorder="1" applyAlignment="1">
      <alignment horizontal="center" vertical="center" wrapText="1"/>
    </xf>
    <xf numFmtId="0" fontId="11" fillId="0" borderId="24" xfId="0" applyFont="1" applyBorder="1" applyAlignment="1">
      <alignment horizontal="center" vertical="center" wrapText="1"/>
    </xf>
    <xf numFmtId="167" fontId="11" fillId="0" borderId="6" xfId="0" applyNumberFormat="1" applyFont="1" applyBorder="1" applyAlignment="1">
      <alignment horizontal="center" vertical="center"/>
    </xf>
    <xf numFmtId="167" fontId="11" fillId="0" borderId="16" xfId="0" applyNumberFormat="1" applyFont="1" applyBorder="1" applyAlignment="1">
      <alignment horizontal="center" vertical="center"/>
    </xf>
    <xf numFmtId="167" fontId="11" fillId="0" borderId="6" xfId="0" applyNumberFormat="1" applyFont="1" applyBorder="1" applyAlignment="1">
      <alignment vertical="center" wrapText="1"/>
    </xf>
    <xf numFmtId="167" fontId="11" fillId="0" borderId="6" xfId="0" applyNumberFormat="1" applyFont="1" applyBorder="1" applyAlignment="1">
      <alignment vertical="center"/>
    </xf>
    <xf numFmtId="167" fontId="18" fillId="0" borderId="16" xfId="0" applyNumberFormat="1" applyFont="1" applyBorder="1" applyAlignment="1">
      <alignment horizontal="center" vertical="center"/>
    </xf>
    <xf numFmtId="0" fontId="16" fillId="0" borderId="24" xfId="0" applyFont="1" applyBorder="1" applyAlignment="1">
      <alignment vertical="center"/>
    </xf>
    <xf numFmtId="0" fontId="22" fillId="0" borderId="6"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16" xfId="0" applyNumberFormat="1" applyFont="1" applyBorder="1" applyAlignment="1">
      <alignment horizontal="center" vertical="center" wrapText="1"/>
    </xf>
    <xf numFmtId="0" fontId="16" fillId="0" borderId="24" xfId="0" applyFont="1" applyBorder="1" applyAlignment="1">
      <alignment horizontal="center" vertical="center"/>
    </xf>
    <xf numFmtId="0" fontId="16" fillId="0" borderId="6" xfId="0" applyFont="1" applyBorder="1" applyAlignment="1">
      <alignment horizontal="justify" vertical="center" wrapText="1"/>
    </xf>
    <xf numFmtId="0" fontId="16" fillId="0" borderId="6" xfId="0" applyFont="1" applyBorder="1" applyAlignment="1">
      <alignment horizontal="center" vertical="center" wrapText="1"/>
    </xf>
    <xf numFmtId="171" fontId="16" fillId="0" borderId="6" xfId="0" applyNumberFormat="1" applyFont="1" applyBorder="1" applyAlignment="1">
      <alignment horizontal="center" vertical="center" wrapText="1"/>
    </xf>
    <xf numFmtId="0" fontId="22" fillId="0" borderId="9" xfId="0" applyFont="1" applyBorder="1" applyAlignment="1">
      <alignment horizontal="justify" vertical="center" wrapText="1"/>
    </xf>
    <xf numFmtId="2" fontId="24" fillId="0" borderId="6" xfId="0" applyNumberFormat="1" applyFont="1" applyBorder="1" applyAlignment="1">
      <alignment horizontal="center" vertical="center"/>
    </xf>
    <xf numFmtId="0" fontId="10" fillId="0" borderId="6" xfId="0" applyFont="1" applyBorder="1" applyAlignment="1">
      <alignment horizontal="justify" vertical="center" wrapText="1"/>
    </xf>
    <xf numFmtId="0" fontId="11" fillId="2" borderId="18" xfId="3" applyFont="1" applyFill="1" applyBorder="1" applyAlignment="1">
      <alignment horizontal="center" vertical="center"/>
    </xf>
    <xf numFmtId="167" fontId="18" fillId="2" borderId="44" xfId="3" applyNumberFormat="1" applyFont="1" applyFill="1" applyBorder="1" applyAlignment="1">
      <alignment horizontal="center" vertical="center" wrapText="1"/>
    </xf>
    <xf numFmtId="14" fontId="21" fillId="0" borderId="28" xfId="0" applyNumberFormat="1" applyFont="1" applyBorder="1" applyAlignment="1">
      <alignment vertical="center" wrapText="1"/>
    </xf>
    <xf numFmtId="0" fontId="18" fillId="6" borderId="6" xfId="0" applyFont="1" applyFill="1" applyBorder="1" applyAlignment="1">
      <alignment horizontal="center" vertical="center" wrapText="1"/>
    </xf>
    <xf numFmtId="172" fontId="16" fillId="0" borderId="6" xfId="0" applyNumberFormat="1" applyFont="1" applyBorder="1" applyAlignment="1">
      <alignment horizontal="center" vertical="center" wrapText="1"/>
    </xf>
    <xf numFmtId="0" fontId="0" fillId="0" borderId="3" xfId="0" applyBorder="1" applyAlignment="1">
      <alignment vertical="center" wrapText="1"/>
    </xf>
    <xf numFmtId="0" fontId="0" fillId="0" borderId="47" xfId="0" applyBorder="1" applyAlignment="1">
      <alignment vertical="center" wrapText="1"/>
    </xf>
    <xf numFmtId="0" fontId="0" fillId="0" borderId="12" xfId="0" applyBorder="1" applyAlignment="1">
      <alignment vertical="center"/>
    </xf>
    <xf numFmtId="0" fontId="0" fillId="0" borderId="28" xfId="0" applyBorder="1" applyAlignment="1">
      <alignment vertical="center"/>
    </xf>
    <xf numFmtId="0" fontId="0" fillId="0" borderId="13" xfId="0" applyBorder="1" applyAlignment="1">
      <alignment vertical="center"/>
    </xf>
    <xf numFmtId="0" fontId="0" fillId="0" borderId="0" xfId="0" applyBorder="1" applyAlignment="1">
      <alignment vertical="center"/>
    </xf>
    <xf numFmtId="0" fontId="16" fillId="0" borderId="28" xfId="0" applyFont="1" applyBorder="1" applyAlignment="1">
      <alignment vertical="center" wrapText="1"/>
    </xf>
    <xf numFmtId="164" fontId="16" fillId="0" borderId="0" xfId="0" applyNumberFormat="1" applyFont="1" applyFill="1" applyBorder="1" applyAlignment="1">
      <alignment vertical="center"/>
    </xf>
    <xf numFmtId="0" fontId="4" fillId="0" borderId="13" xfId="0" applyFont="1" applyBorder="1" applyAlignment="1">
      <alignment vertical="center"/>
    </xf>
    <xf numFmtId="0" fontId="6" fillId="0" borderId="13" xfId="0" applyFont="1" applyBorder="1" applyAlignment="1">
      <alignment vertical="center" wrapText="1"/>
    </xf>
    <xf numFmtId="0" fontId="6" fillId="0" borderId="47" xfId="0" applyFont="1" applyBorder="1" applyAlignment="1">
      <alignment vertical="center" wrapText="1"/>
    </xf>
    <xf numFmtId="0" fontId="13" fillId="0" borderId="0" xfId="0" applyFont="1" applyFill="1" applyBorder="1" applyAlignment="1">
      <alignment vertical="center"/>
    </xf>
    <xf numFmtId="0" fontId="12" fillId="0" borderId="34" xfId="0" applyFont="1" applyFill="1" applyBorder="1" applyAlignment="1">
      <alignment horizontal="center" vertical="center"/>
    </xf>
    <xf numFmtId="0" fontId="3" fillId="0" borderId="0" xfId="0" applyFont="1" applyFill="1" applyBorder="1" applyAlignment="1">
      <alignment vertical="center"/>
    </xf>
    <xf numFmtId="0" fontId="2" fillId="0" borderId="0" xfId="0" applyFont="1" applyFill="1" applyBorder="1" applyAlignment="1">
      <alignment vertical="center"/>
    </xf>
    <xf numFmtId="0" fontId="7" fillId="0" borderId="12" xfId="0" applyFont="1" applyBorder="1" applyAlignment="1">
      <alignment vertical="center" wrapText="1"/>
    </xf>
    <xf numFmtId="0" fontId="7" fillId="0" borderId="48" xfId="0" applyFont="1" applyBorder="1" applyAlignment="1">
      <alignment vertical="center" wrapText="1"/>
    </xf>
    <xf numFmtId="0" fontId="7" fillId="0" borderId="12" xfId="0" applyFont="1" applyFill="1" applyBorder="1" applyAlignment="1">
      <alignment vertical="center" wrapText="1"/>
    </xf>
    <xf numFmtId="0" fontId="7" fillId="0" borderId="29" xfId="0" applyFont="1" applyFill="1" applyBorder="1" applyAlignment="1">
      <alignment vertical="center"/>
    </xf>
    <xf numFmtId="0" fontId="9" fillId="0" borderId="3" xfId="0" applyFont="1" applyFill="1" applyBorder="1" applyAlignment="1">
      <alignment vertical="center" wrapText="1"/>
    </xf>
    <xf numFmtId="2" fontId="7" fillId="0" borderId="14" xfId="0" applyNumberFormat="1" applyFont="1" applyBorder="1" applyAlignment="1">
      <alignment horizontal="center" vertical="center"/>
    </xf>
    <xf numFmtId="0" fontId="11" fillId="0" borderId="14"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8" fillId="0" borderId="0" xfId="0" applyFont="1" applyBorder="1" applyAlignment="1">
      <alignment vertical="center" wrapText="1"/>
    </xf>
    <xf numFmtId="10" fontId="9" fillId="0" borderId="15" xfId="0" applyNumberFormat="1" applyFont="1" applyBorder="1" applyAlignment="1">
      <alignment vertical="center"/>
    </xf>
    <xf numFmtId="0" fontId="0" fillId="0" borderId="12" xfId="0" applyBorder="1"/>
    <xf numFmtId="0" fontId="0" fillId="0" borderId="13" xfId="0" applyBorder="1"/>
    <xf numFmtId="0" fontId="0" fillId="0" borderId="36" xfId="0" applyBorder="1"/>
    <xf numFmtId="0" fontId="0" fillId="0" borderId="46" xfId="0" applyBorder="1"/>
    <xf numFmtId="0" fontId="0" fillId="0" borderId="47" xfId="0" applyBorder="1"/>
    <xf numFmtId="0" fontId="0" fillId="0" borderId="26" xfId="0" applyBorder="1"/>
    <xf numFmtId="0" fontId="0" fillId="0" borderId="34" xfId="0" applyBorder="1"/>
    <xf numFmtId="0" fontId="0" fillId="0" borderId="28" xfId="0" applyBorder="1"/>
    <xf numFmtId="172" fontId="11" fillId="0" borderId="6" xfId="0" applyNumberFormat="1" applyFont="1" applyBorder="1" applyAlignment="1">
      <alignment horizontal="center" vertical="center"/>
    </xf>
    <xf numFmtId="0" fontId="16" fillId="0" borderId="6" xfId="0" applyFont="1" applyBorder="1" applyAlignment="1">
      <alignment horizontal="center" vertical="center"/>
    </xf>
    <xf numFmtId="0" fontId="10" fillId="0" borderId="24" xfId="0" applyFont="1" applyBorder="1" applyAlignment="1">
      <alignment horizontal="center" vertical="center" wrapText="1"/>
    </xf>
    <xf numFmtId="0" fontId="10" fillId="0" borderId="32" xfId="0" applyFont="1" applyBorder="1" applyAlignment="1">
      <alignment horizontal="center" vertical="center" wrapText="1"/>
    </xf>
    <xf numFmtId="167" fontId="22" fillId="0" borderId="3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4" fillId="0" borderId="23" xfId="0" applyFont="1" applyBorder="1"/>
    <xf numFmtId="2" fontId="25" fillId="0" borderId="14" xfId="0" applyNumberFormat="1" applyFont="1" applyBorder="1" applyAlignment="1">
      <alignment horizontal="center" vertical="center"/>
    </xf>
    <xf numFmtId="0" fontId="24" fillId="0" borderId="19" xfId="0" applyFont="1" applyBorder="1"/>
    <xf numFmtId="0" fontId="11" fillId="0" borderId="6" xfId="0" applyFont="1" applyBorder="1" applyAlignment="1">
      <alignment horizontal="center" vertical="center"/>
    </xf>
    <xf numFmtId="0" fontId="11" fillId="0" borderId="6" xfId="0" applyFont="1" applyBorder="1" applyAlignment="1">
      <alignment horizontal="left" vertical="center" wrapText="1"/>
    </xf>
    <xf numFmtId="4" fontId="7" fillId="2" borderId="49" xfId="0" applyNumberFormat="1" applyFont="1" applyFill="1" applyBorder="1" applyAlignment="1">
      <alignment horizontal="center" vertical="center" wrapText="1"/>
    </xf>
    <xf numFmtId="166" fontId="18" fillId="0" borderId="31" xfId="0" applyNumberFormat="1" applyFont="1" applyBorder="1" applyAlignment="1">
      <alignment horizontal="center" vertical="center"/>
    </xf>
    <xf numFmtId="166" fontId="18" fillId="0" borderId="32" xfId="0" applyNumberFormat="1" applyFont="1" applyBorder="1" applyAlignment="1">
      <alignment horizontal="center" vertical="center"/>
    </xf>
    <xf numFmtId="0" fontId="11" fillId="0" borderId="24" xfId="0" applyFont="1" applyBorder="1" applyAlignment="1">
      <alignment horizontal="center" vertical="center"/>
    </xf>
    <xf numFmtId="0" fontId="18" fillId="2" borderId="45" xfId="0" applyFont="1" applyFill="1" applyBorder="1" applyAlignment="1">
      <alignment horizontal="center" vertical="center"/>
    </xf>
    <xf numFmtId="167" fontId="18" fillId="2" borderId="20" xfId="0" applyNumberFormat="1" applyFont="1" applyFill="1" applyBorder="1" applyAlignment="1">
      <alignment horizontal="center" vertical="center"/>
    </xf>
    <xf numFmtId="0" fontId="18" fillId="5" borderId="20" xfId="3" applyFont="1" applyFill="1" applyBorder="1" applyAlignment="1">
      <alignment vertical="center"/>
    </xf>
    <xf numFmtId="0" fontId="18" fillId="5" borderId="20" xfId="3" applyFont="1" applyFill="1" applyBorder="1" applyAlignment="1">
      <alignment horizontal="right" vertical="center"/>
    </xf>
    <xf numFmtId="2" fontId="18" fillId="5" borderId="49" xfId="3" applyNumberFormat="1" applyFont="1" applyFill="1" applyBorder="1" applyAlignment="1">
      <alignment vertical="center"/>
    </xf>
    <xf numFmtId="0" fontId="25" fillId="0" borderId="24" xfId="0" applyFont="1" applyBorder="1" applyAlignment="1">
      <alignment horizontal="center" vertical="center" wrapText="1"/>
    </xf>
    <xf numFmtId="0" fontId="25" fillId="0" borderId="16" xfId="0" applyFont="1" applyBorder="1" applyAlignment="1">
      <alignment horizontal="center" vertical="center" wrapText="1"/>
    </xf>
    <xf numFmtId="0" fontId="11" fillId="0" borderId="61" xfId="0" applyFont="1" applyBorder="1" applyAlignment="1">
      <alignment horizontal="center" vertical="center"/>
    </xf>
    <xf numFmtId="0" fontId="31" fillId="0" borderId="6" xfId="0" applyNumberFormat="1" applyFont="1" applyBorder="1" applyAlignment="1">
      <alignment horizontal="center" vertical="center"/>
    </xf>
    <xf numFmtId="0" fontId="11" fillId="0" borderId="32" xfId="0" quotePrefix="1" applyFont="1" applyBorder="1" applyAlignment="1">
      <alignment horizontal="center" vertical="center"/>
    </xf>
    <xf numFmtId="0" fontId="11" fillId="0" borderId="6" xfId="0" quotePrefix="1" applyFont="1" applyFill="1" applyBorder="1" applyAlignment="1">
      <alignment horizontal="center" vertical="center" wrapText="1"/>
    </xf>
    <xf numFmtId="4" fontId="11" fillId="0" borderId="6" xfId="0" applyNumberFormat="1" applyFont="1" applyFill="1" applyBorder="1" applyAlignment="1">
      <alignment horizontal="center" vertical="center" wrapText="1"/>
    </xf>
    <xf numFmtId="4" fontId="11" fillId="0" borderId="6" xfId="0" applyNumberFormat="1" applyFont="1" applyBorder="1" applyAlignment="1">
      <alignment horizontal="center" vertical="center"/>
    </xf>
    <xf numFmtId="4" fontId="11" fillId="0" borderId="16" xfId="0" applyNumberFormat="1" applyFont="1" applyBorder="1" applyAlignment="1">
      <alignment horizontal="right" vertical="center"/>
    </xf>
    <xf numFmtId="0" fontId="11" fillId="0" borderId="23" xfId="0" quotePrefix="1" applyFont="1" applyBorder="1" applyAlignment="1">
      <alignment horizontal="center" vertical="center"/>
    </xf>
    <xf numFmtId="0" fontId="11" fillId="0" borderId="42" xfId="0" quotePrefix="1" applyFont="1" applyBorder="1" applyAlignment="1">
      <alignment horizontal="center" vertical="center"/>
    </xf>
    <xf numFmtId="0" fontId="11" fillId="0" borderId="40" xfId="0" quotePrefix="1" applyFont="1" applyBorder="1" applyAlignment="1">
      <alignment horizontal="center" vertical="center"/>
    </xf>
    <xf numFmtId="0" fontId="11" fillId="0" borderId="14" xfId="0" quotePrefix="1" applyFont="1" applyBorder="1" applyAlignment="1">
      <alignment horizontal="center" vertical="center"/>
    </xf>
    <xf numFmtId="4" fontId="11" fillId="0" borderId="14" xfId="0" applyNumberFormat="1" applyFont="1" applyBorder="1" applyAlignment="1">
      <alignment vertical="center"/>
    </xf>
    <xf numFmtId="10" fontId="18" fillId="0" borderId="14" xfId="0" applyNumberFormat="1" applyFont="1" applyBorder="1" applyAlignment="1">
      <alignment horizontal="center" vertical="center"/>
    </xf>
    <xf numFmtId="4" fontId="18" fillId="0" borderId="19" xfId="0" applyNumberFormat="1" applyFont="1" applyBorder="1" applyAlignment="1">
      <alignment horizontal="right" vertical="center"/>
    </xf>
    <xf numFmtId="0" fontId="11" fillId="0" borderId="60" xfId="0" quotePrefix="1" applyFont="1" applyBorder="1" applyAlignment="1">
      <alignment horizontal="center" vertical="center"/>
    </xf>
    <xf numFmtId="0" fontId="11" fillId="0" borderId="60" xfId="0" applyFont="1" applyBorder="1" applyAlignment="1">
      <alignment horizontal="center" vertical="center"/>
    </xf>
    <xf numFmtId="4" fontId="11" fillId="0" borderId="60" xfId="0" applyNumberFormat="1" applyFont="1" applyBorder="1" applyAlignment="1">
      <alignment vertical="center"/>
    </xf>
    <xf numFmtId="0" fontId="31" fillId="0" borderId="8" xfId="0" applyNumberFormat="1" applyFont="1" applyBorder="1" applyAlignment="1">
      <alignment horizontal="center" vertical="center"/>
    </xf>
    <xf numFmtId="2" fontId="0" fillId="0" borderId="0" xfId="0" applyNumberFormat="1" applyFont="1" applyFill="1" applyBorder="1" applyAlignment="1">
      <alignment horizontal="right" vertical="center"/>
    </xf>
    <xf numFmtId="2" fontId="17" fillId="0" borderId="0" xfId="0" applyNumberFormat="1" applyFont="1" applyBorder="1" applyAlignment="1">
      <alignment horizontal="right" vertical="center"/>
    </xf>
    <xf numFmtId="0" fontId="11" fillId="0" borderId="9" xfId="0" quotePrefix="1" applyFont="1" applyFill="1" applyBorder="1" applyAlignment="1">
      <alignment horizontal="center" vertical="center" wrapText="1"/>
    </xf>
    <xf numFmtId="0" fontId="10" fillId="0" borderId="3" xfId="0" applyFont="1" applyBorder="1" applyAlignment="1">
      <alignment horizontal="justify" vertical="center" wrapText="1"/>
    </xf>
    <xf numFmtId="0" fontId="11" fillId="0" borderId="32" xfId="0" applyFont="1" applyBorder="1" applyAlignment="1">
      <alignment horizontal="center" vertical="center"/>
    </xf>
    <xf numFmtId="167" fontId="18" fillId="2" borderId="37" xfId="0" applyNumberFormat="1" applyFont="1" applyFill="1" applyBorder="1" applyAlignment="1">
      <alignment horizontal="center" vertical="center"/>
    </xf>
    <xf numFmtId="0" fontId="11" fillId="2" borderId="36" xfId="3" applyFont="1" applyFill="1" applyBorder="1" applyAlignment="1">
      <alignment horizontal="center" vertical="center"/>
    </xf>
    <xf numFmtId="167" fontId="18" fillId="2" borderId="39" xfId="3" applyNumberFormat="1" applyFont="1" applyFill="1" applyBorder="1" applyAlignment="1">
      <alignment horizontal="center" vertical="center" wrapText="1"/>
    </xf>
    <xf numFmtId="0" fontId="26" fillId="0" borderId="6" xfId="0" applyFont="1" applyBorder="1" applyAlignment="1">
      <alignment wrapText="1"/>
    </xf>
    <xf numFmtId="2" fontId="16" fillId="0" borderId="6" xfId="0" applyNumberFormat="1" applyFont="1" applyBorder="1" applyAlignment="1">
      <alignment horizontal="center" vertical="center"/>
    </xf>
    <xf numFmtId="0" fontId="11" fillId="2" borderId="36" xfId="0" applyFont="1" applyFill="1" applyBorder="1" applyAlignment="1">
      <alignment horizontal="center" vertical="center"/>
    </xf>
    <xf numFmtId="0" fontId="11" fillId="2" borderId="17" xfId="3" applyFont="1" applyFill="1" applyBorder="1" applyAlignment="1">
      <alignment horizontal="center" vertical="center"/>
    </xf>
    <xf numFmtId="167" fontId="18" fillId="2" borderId="63" xfId="3" applyNumberFormat="1" applyFont="1" applyFill="1" applyBorder="1" applyAlignment="1">
      <alignment horizontal="center" vertical="center" wrapText="1"/>
    </xf>
    <xf numFmtId="167" fontId="18" fillId="2" borderId="39" xfId="0" applyNumberFormat="1" applyFont="1" applyFill="1" applyBorder="1" applyAlignment="1">
      <alignment horizontal="center" vertical="center" wrapText="1"/>
    </xf>
    <xf numFmtId="0" fontId="26" fillId="0" borderId="57" xfId="0" applyFont="1" applyBorder="1" applyAlignment="1">
      <alignment wrapText="1"/>
    </xf>
    <xf numFmtId="0" fontId="11" fillId="0" borderId="40" xfId="0" applyFont="1" applyBorder="1" applyAlignment="1">
      <alignment horizontal="center" vertical="center"/>
    </xf>
    <xf numFmtId="167" fontId="22" fillId="0" borderId="58" xfId="0" applyNumberFormat="1" applyFont="1" applyBorder="1" applyAlignment="1">
      <alignment horizontal="center" vertical="center" wrapText="1"/>
    </xf>
    <xf numFmtId="0" fontId="28" fillId="0" borderId="6" xfId="0" applyFont="1" applyBorder="1" applyAlignment="1">
      <alignment horizontal="center" vertical="center"/>
    </xf>
    <xf numFmtId="0" fontId="24" fillId="0" borderId="0" xfId="0" applyFont="1" applyBorder="1" applyAlignment="1">
      <alignment horizontal="center"/>
    </xf>
    <xf numFmtId="2" fontId="10" fillId="0" borderId="6" xfId="0" applyNumberFormat="1" applyFont="1" applyBorder="1" applyAlignment="1">
      <alignment horizontal="center" vertical="center"/>
    </xf>
    <xf numFmtId="2" fontId="10" fillId="0" borderId="0" xfId="0" applyNumberFormat="1" applyFont="1" applyBorder="1" applyAlignment="1">
      <alignment horizontal="center" vertical="center"/>
    </xf>
    <xf numFmtId="0" fontId="10" fillId="0" borderId="6" xfId="0" applyFont="1" applyBorder="1" applyAlignment="1">
      <alignment horizontal="left" vertical="center" wrapText="1"/>
    </xf>
    <xf numFmtId="2" fontId="0" fillId="0" borderId="0" xfId="0" applyNumberFormat="1"/>
    <xf numFmtId="0" fontId="10" fillId="0" borderId="23" xfId="0" applyFont="1" applyBorder="1" applyAlignment="1">
      <alignment horizontal="center" vertical="center" wrapText="1"/>
    </xf>
    <xf numFmtId="0" fontId="11" fillId="0" borderId="24" xfId="0" applyFont="1" applyFill="1" applyBorder="1" applyAlignment="1">
      <alignment horizontal="center" vertical="center"/>
    </xf>
    <xf numFmtId="166" fontId="7" fillId="2" borderId="45" xfId="0" quotePrefix="1" applyNumberFormat="1" applyFont="1" applyFill="1" applyBorder="1" applyAlignment="1">
      <alignment horizontal="center" vertical="center"/>
    </xf>
    <xf numFmtId="0" fontId="11" fillId="0" borderId="24" xfId="0" quotePrefix="1" applyFont="1" applyBorder="1" applyAlignment="1">
      <alignment horizontal="center" vertical="center"/>
    </xf>
    <xf numFmtId="4" fontId="11" fillId="0" borderId="35" xfId="0" applyNumberFormat="1" applyFont="1" applyBorder="1" applyAlignment="1">
      <alignment horizontal="right" vertical="center"/>
    </xf>
    <xf numFmtId="10" fontId="18" fillId="0" borderId="60" xfId="0" applyNumberFormat="1" applyFont="1" applyBorder="1" applyAlignment="1">
      <alignment horizontal="center" vertical="center"/>
    </xf>
    <xf numFmtId="4" fontId="18" fillId="0" borderId="44" xfId="0" applyNumberFormat="1" applyFont="1" applyBorder="1" applyAlignment="1">
      <alignment horizontal="right" vertical="center"/>
    </xf>
    <xf numFmtId="0" fontId="20" fillId="0" borderId="38" xfId="0" applyFont="1" applyBorder="1" applyAlignment="1">
      <alignment vertical="center" wrapText="1"/>
    </xf>
    <xf numFmtId="0" fontId="23" fillId="0" borderId="12" xfId="0" applyFont="1" applyBorder="1" applyAlignment="1">
      <alignment vertical="center" wrapText="1"/>
    </xf>
    <xf numFmtId="0" fontId="23" fillId="0" borderId="48" xfId="0" applyFont="1" applyBorder="1" applyAlignment="1">
      <alignment vertical="center" wrapText="1"/>
    </xf>
    <xf numFmtId="0" fontId="12" fillId="0" borderId="26" xfId="0" applyFont="1" applyFill="1" applyBorder="1" applyAlignment="1">
      <alignment vertical="center"/>
    </xf>
    <xf numFmtId="167" fontId="35" fillId="0" borderId="6" xfId="0" applyNumberFormat="1" applyFont="1" applyBorder="1" applyAlignment="1">
      <alignment horizontal="center" vertical="center"/>
    </xf>
    <xf numFmtId="0" fontId="32" fillId="0" borderId="6" xfId="5" applyFont="1" applyBorder="1" applyAlignment="1">
      <alignment horizontal="left" vertical="center" wrapText="1"/>
    </xf>
    <xf numFmtId="167" fontId="11" fillId="2" borderId="37" xfId="0" applyNumberFormat="1" applyFont="1" applyFill="1" applyBorder="1" applyAlignment="1">
      <alignment vertical="center"/>
    </xf>
    <xf numFmtId="167" fontId="11" fillId="2" borderId="39"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4" fontId="10" fillId="0" borderId="24" xfId="0" applyNumberFormat="1" applyFont="1" applyBorder="1" applyAlignment="1">
      <alignment horizontal="center" vertical="center"/>
    </xf>
    <xf numFmtId="167" fontId="10" fillId="0" borderId="6" xfId="0" applyNumberFormat="1" applyFont="1" applyBorder="1" applyAlignment="1">
      <alignment horizontal="center" vertical="center"/>
    </xf>
    <xf numFmtId="167" fontId="24" fillId="0" borderId="16" xfId="0" applyNumberFormat="1" applyFont="1" applyBorder="1" applyAlignment="1">
      <alignment horizontal="center" vertical="center" wrapText="1"/>
    </xf>
    <xf numFmtId="171" fontId="10" fillId="0" borderId="6" xfId="0" applyNumberFormat="1" applyFont="1" applyBorder="1" applyAlignment="1">
      <alignment horizontal="center" vertical="center"/>
    </xf>
    <xf numFmtId="172" fontId="10" fillId="0" borderId="6" xfId="0" applyNumberFormat="1" applyFont="1" applyBorder="1" applyAlignment="1">
      <alignment horizontal="center" vertical="center"/>
    </xf>
    <xf numFmtId="2" fontId="16" fillId="0" borderId="57" xfId="0" applyNumberFormat="1" applyFont="1" applyBorder="1" applyAlignment="1">
      <alignment horizontal="center" vertical="center"/>
    </xf>
    <xf numFmtId="4" fontId="18" fillId="6" borderId="57" xfId="0" applyNumberFormat="1" applyFont="1" applyFill="1" applyBorder="1" applyAlignment="1">
      <alignment horizontal="right" vertical="center"/>
    </xf>
    <xf numFmtId="0" fontId="30" fillId="2" borderId="20" xfId="0" applyNumberFormat="1" applyFont="1" applyFill="1" applyBorder="1" applyAlignment="1">
      <alignment horizontal="center" vertical="center" wrapText="1"/>
    </xf>
    <xf numFmtId="167" fontId="11" fillId="0" borderId="16" xfId="0" applyNumberFormat="1" applyFont="1" applyBorder="1" applyAlignment="1">
      <alignment horizontal="right" vertical="center"/>
    </xf>
    <xf numFmtId="2" fontId="11" fillId="0" borderId="0" xfId="0" applyNumberFormat="1" applyFont="1" applyFill="1" applyBorder="1" applyAlignment="1">
      <alignment horizontal="center" vertical="center"/>
    </xf>
    <xf numFmtId="0" fontId="9" fillId="0" borderId="25" xfId="0" applyFont="1" applyBorder="1" applyAlignment="1">
      <alignment horizontal="center" vertical="center"/>
    </xf>
    <xf numFmtId="0" fontId="9" fillId="0" borderId="73" xfId="0" applyFont="1" applyBorder="1" applyAlignment="1">
      <alignment horizontal="center" vertical="center"/>
    </xf>
    <xf numFmtId="0" fontId="31" fillId="0" borderId="9" xfId="0" applyFont="1" applyBorder="1" applyAlignment="1">
      <alignment horizontal="center" vertical="center"/>
    </xf>
    <xf numFmtId="0" fontId="9" fillId="0" borderId="46" xfId="0" applyFont="1" applyBorder="1" applyAlignment="1">
      <alignment vertical="center"/>
    </xf>
    <xf numFmtId="0" fontId="9" fillId="0" borderId="0" xfId="0" applyFont="1" applyFill="1" applyBorder="1" applyAlignment="1">
      <alignment vertical="center"/>
    </xf>
    <xf numFmtId="2" fontId="17"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7" fillId="0" borderId="0" xfId="0" applyFont="1" applyBorder="1" applyAlignment="1">
      <alignment vertical="center"/>
    </xf>
    <xf numFmtId="2" fontId="18" fillId="5" borderId="28" xfId="3" applyNumberFormat="1" applyFont="1" applyFill="1" applyBorder="1" applyAlignment="1">
      <alignment vertical="center"/>
    </xf>
    <xf numFmtId="0" fontId="18" fillId="5" borderId="20" xfId="0" applyFont="1" applyFill="1" applyBorder="1" applyAlignment="1">
      <alignment wrapText="1"/>
    </xf>
    <xf numFmtId="0" fontId="25" fillId="0" borderId="26" xfId="0" applyFont="1" applyBorder="1"/>
    <xf numFmtId="0" fontId="25" fillId="0" borderId="34" xfId="0" applyFont="1" applyBorder="1" applyAlignment="1">
      <alignment horizontal="right" vertical="center"/>
    </xf>
    <xf numFmtId="0" fontId="23" fillId="0" borderId="0" xfId="0" applyFont="1" applyBorder="1" applyAlignment="1">
      <alignment vertical="center" wrapText="1"/>
    </xf>
    <xf numFmtId="0" fontId="0" fillId="0" borderId="48" xfId="0" applyBorder="1"/>
    <xf numFmtId="0" fontId="24" fillId="0" borderId="48" xfId="0" applyFont="1" applyBorder="1" applyAlignment="1"/>
    <xf numFmtId="0" fontId="11" fillId="0" borderId="6" xfId="0" quotePrefix="1" applyFont="1" applyBorder="1" applyAlignment="1">
      <alignment horizontal="center" vertical="center"/>
    </xf>
    <xf numFmtId="0" fontId="11" fillId="0" borderId="9" xfId="0" quotePrefix="1" applyFont="1" applyBorder="1" applyAlignment="1">
      <alignment horizontal="center" vertical="center"/>
    </xf>
    <xf numFmtId="0" fontId="9" fillId="0" borderId="51" xfId="0" applyFont="1" applyBorder="1" applyAlignment="1">
      <alignment horizontal="center" vertical="center"/>
    </xf>
    <xf numFmtId="0" fontId="0" fillId="0" borderId="16" xfId="0" applyBorder="1" applyAlignment="1">
      <alignment vertical="center"/>
    </xf>
    <xf numFmtId="0" fontId="11" fillId="0" borderId="6" xfId="0" quotePrefix="1" applyFont="1" applyFill="1" applyBorder="1" applyAlignment="1">
      <alignment horizontal="left" vertical="center" wrapText="1"/>
    </xf>
    <xf numFmtId="0" fontId="11" fillId="0" borderId="6" xfId="0" quotePrefix="1" applyFont="1" applyBorder="1" applyAlignment="1">
      <alignment horizontal="left" vertical="center" wrapText="1"/>
    </xf>
    <xf numFmtId="0" fontId="23" fillId="5" borderId="27" xfId="0" quotePrefix="1" applyFont="1" applyFill="1" applyBorder="1" applyAlignment="1">
      <alignment horizontal="left" vertical="center" wrapText="1"/>
    </xf>
    <xf numFmtId="0" fontId="16" fillId="0" borderId="17" xfId="0" applyFont="1" applyBorder="1" applyAlignment="1">
      <alignment vertical="center"/>
    </xf>
    <xf numFmtId="0" fontId="22" fillId="0" borderId="0" xfId="0" applyFont="1" applyBorder="1" applyAlignment="1">
      <alignment horizontal="justify" vertical="center" wrapText="1"/>
    </xf>
    <xf numFmtId="0" fontId="22" fillId="0" borderId="8" xfId="0" applyFont="1" applyBorder="1" applyAlignment="1">
      <alignment horizontal="center" vertical="center" wrapText="1"/>
    </xf>
    <xf numFmtId="171" fontId="22" fillId="0" borderId="8" xfId="0" applyNumberFormat="1" applyFont="1" applyBorder="1" applyAlignment="1">
      <alignment horizontal="center" vertical="center" wrapText="1"/>
    </xf>
    <xf numFmtId="0" fontId="18" fillId="6" borderId="8" xfId="0" applyFont="1" applyFill="1" applyBorder="1" applyAlignment="1">
      <alignment horizontal="center" vertical="center" wrapText="1"/>
    </xf>
    <xf numFmtId="167" fontId="22" fillId="0" borderId="13" xfId="0" applyNumberFormat="1" applyFont="1" applyBorder="1" applyAlignment="1">
      <alignment horizontal="center" vertical="center" wrapText="1"/>
    </xf>
    <xf numFmtId="0" fontId="57" fillId="0" borderId="12" xfId="0" applyFont="1" applyBorder="1" applyAlignment="1">
      <alignment horizontal="center" vertical="center"/>
    </xf>
    <xf numFmtId="0" fontId="57" fillId="0" borderId="0" xfId="0" applyFont="1" applyBorder="1" applyAlignment="1">
      <alignment horizontal="center" vertical="center"/>
    </xf>
    <xf numFmtId="0" fontId="57" fillId="0" borderId="13" xfId="0" applyFont="1" applyBorder="1" applyAlignment="1">
      <alignment horizontal="center" vertical="center"/>
    </xf>
    <xf numFmtId="0" fontId="56" fillId="0" borderId="12" xfId="0" applyFont="1" applyBorder="1" applyAlignment="1">
      <alignment horizontal="center" vertical="center"/>
    </xf>
    <xf numFmtId="0" fontId="56" fillId="0" borderId="0" xfId="0" applyFont="1" applyBorder="1" applyAlignment="1">
      <alignment horizontal="right" vertical="center"/>
    </xf>
    <xf numFmtId="17" fontId="56" fillId="0" borderId="13"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9" xfId="0" applyFont="1" applyBorder="1" applyAlignment="1">
      <alignment horizontal="center" vertical="center"/>
    </xf>
    <xf numFmtId="0" fontId="0" fillId="0" borderId="31" xfId="0" applyBorder="1" applyAlignment="1">
      <alignment vertical="center"/>
    </xf>
    <xf numFmtId="0" fontId="0" fillId="0" borderId="8" xfId="0" applyBorder="1" applyAlignment="1">
      <alignment vertical="center"/>
    </xf>
    <xf numFmtId="10" fontId="0" fillId="0" borderId="15" xfId="2" applyNumberFormat="1" applyFont="1" applyBorder="1" applyAlignment="1">
      <alignment vertical="center"/>
    </xf>
    <xf numFmtId="0" fontId="0" fillId="0" borderId="24" xfId="0" applyBorder="1" applyAlignment="1">
      <alignment vertical="center"/>
    </xf>
    <xf numFmtId="0" fontId="0" fillId="0" borderId="6" xfId="0" applyBorder="1" applyAlignment="1">
      <alignment vertical="center"/>
    </xf>
    <xf numFmtId="10" fontId="0" fillId="0" borderId="16" xfId="2" applyNumberFormat="1" applyFont="1" applyBorder="1" applyAlignment="1">
      <alignment vertical="center"/>
    </xf>
    <xf numFmtId="0" fontId="0" fillId="0" borderId="32" xfId="0" applyBorder="1" applyAlignment="1">
      <alignment vertical="center"/>
    </xf>
    <xf numFmtId="0" fontId="0" fillId="0" borderId="9" xfId="0" applyBorder="1" applyAlignment="1">
      <alignment vertical="center"/>
    </xf>
    <xf numFmtId="10" fontId="0" fillId="0" borderId="35" xfId="2" applyNumberFormat="1" applyFont="1" applyBorder="1" applyAlignment="1">
      <alignment vertical="center"/>
    </xf>
    <xf numFmtId="0" fontId="0" fillId="0" borderId="54" xfId="0" applyBorder="1" applyAlignment="1">
      <alignment vertical="center"/>
    </xf>
    <xf numFmtId="0" fontId="23" fillId="0" borderId="56" xfId="0" applyFont="1" applyBorder="1" applyAlignment="1">
      <alignment horizontal="right" vertical="center"/>
    </xf>
    <xf numFmtId="10" fontId="23" fillId="0" borderId="39" xfId="2" applyNumberFormat="1" applyFont="1" applyBorder="1" applyAlignment="1">
      <alignment vertical="center"/>
    </xf>
    <xf numFmtId="10" fontId="10" fillId="0" borderId="16" xfId="2" applyNumberFormat="1" applyFont="1" applyBorder="1" applyAlignment="1">
      <alignment vertical="center"/>
    </xf>
    <xf numFmtId="10" fontId="0" fillId="0" borderId="6" xfId="0" applyNumberFormat="1" applyBorder="1" applyAlignment="1">
      <alignment horizontal="left" vertical="center"/>
    </xf>
    <xf numFmtId="0" fontId="23" fillId="0" borderId="43" xfId="0" applyFont="1" applyBorder="1" applyAlignment="1">
      <alignment horizontal="right" vertical="center"/>
    </xf>
    <xf numFmtId="10" fontId="23" fillId="0" borderId="55" xfId="2" applyNumberFormat="1" applyFont="1" applyBorder="1" applyAlignment="1">
      <alignment vertical="center"/>
    </xf>
    <xf numFmtId="10" fontId="23" fillId="0" borderId="41" xfId="2" applyNumberFormat="1" applyFont="1" applyBorder="1" applyAlignment="1">
      <alignment vertical="center"/>
    </xf>
    <xf numFmtId="0" fontId="58" fillId="0" borderId="73" xfId="0" applyFont="1" applyBorder="1" applyAlignment="1">
      <alignment vertical="center"/>
    </xf>
    <xf numFmtId="0" fontId="58" fillId="0" borderId="42" xfId="0" applyFont="1" applyBorder="1" applyAlignment="1">
      <alignment horizontal="right" vertical="center"/>
    </xf>
    <xf numFmtId="10" fontId="23" fillId="0" borderId="19" xfId="2" applyNumberFormat="1" applyFont="1" applyBorder="1" applyAlignment="1">
      <alignment vertical="center"/>
    </xf>
    <xf numFmtId="0" fontId="16" fillId="0" borderId="6" xfId="0" applyFont="1" applyBorder="1" applyAlignment="1">
      <alignment horizontal="left" vertical="center" wrapText="1"/>
    </xf>
    <xf numFmtId="0" fontId="16" fillId="0" borderId="6" xfId="0" applyFont="1" applyFill="1" applyBorder="1" applyAlignment="1">
      <alignment horizontal="center" vertical="center"/>
    </xf>
    <xf numFmtId="0" fontId="0" fillId="0" borderId="0" xfId="0" applyNumberFormat="1" applyFill="1" applyBorder="1" applyAlignment="1">
      <alignment horizontal="left" vertical="center"/>
    </xf>
    <xf numFmtId="0" fontId="0" fillId="0" borderId="54" xfId="0" applyBorder="1"/>
    <xf numFmtId="0" fontId="16" fillId="0" borderId="43" xfId="0" applyFont="1" applyBorder="1" applyAlignment="1">
      <alignment horizontal="center" vertical="center" wrapText="1"/>
    </xf>
    <xf numFmtId="0" fontId="0" fillId="0" borderId="43" xfId="0" applyBorder="1" applyAlignment="1"/>
    <xf numFmtId="0" fontId="22" fillId="0" borderId="6" xfId="0" applyFont="1" applyBorder="1" applyAlignment="1">
      <alignment horizontal="center" vertical="center"/>
    </xf>
    <xf numFmtId="4" fontId="18" fillId="6" borderId="6" xfId="0" applyNumberFormat="1" applyFont="1" applyFill="1" applyBorder="1" applyAlignment="1">
      <alignment horizontal="right" vertical="center"/>
    </xf>
    <xf numFmtId="0" fontId="16" fillId="0" borderId="0" xfId="0" applyFont="1" applyBorder="1" applyAlignment="1">
      <alignment horizontal="center" vertical="center" wrapText="1"/>
    </xf>
    <xf numFmtId="0" fontId="0" fillId="0" borderId="0" xfId="0" applyBorder="1" applyAlignment="1"/>
    <xf numFmtId="0" fontId="24" fillId="0" borderId="0" xfId="0" applyFont="1" applyBorder="1"/>
    <xf numFmtId="0" fontId="10" fillId="0" borderId="0" xfId="0" applyFont="1" applyBorder="1" applyAlignment="1">
      <alignment vertical="center" wrapText="1"/>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2" fontId="7" fillId="0" borderId="22" xfId="0" applyNumberFormat="1" applyFont="1" applyBorder="1" applyAlignment="1">
      <alignment horizontal="center" vertical="center"/>
    </xf>
    <xf numFmtId="10" fontId="0" fillId="0" borderId="0" xfId="0" applyNumberFormat="1" applyAlignment="1">
      <alignment vertical="center"/>
    </xf>
    <xf numFmtId="2" fontId="17" fillId="0" borderId="0" xfId="0" applyNumberFormat="1" applyFont="1" applyFill="1" applyBorder="1" applyAlignment="1">
      <alignment horizontal="right" vertical="center"/>
    </xf>
    <xf numFmtId="0" fontId="31" fillId="0" borderId="6" xfId="0" applyFont="1" applyBorder="1" applyAlignment="1">
      <alignment horizontal="center" vertical="center"/>
    </xf>
    <xf numFmtId="0" fontId="23" fillId="0" borderId="48" xfId="0" applyFont="1" applyBorder="1" applyAlignment="1">
      <alignment horizontal="center" vertical="center" wrapText="1"/>
    </xf>
    <xf numFmtId="0" fontId="23" fillId="0" borderId="46" xfId="0" applyFont="1" applyBorder="1" applyAlignment="1">
      <alignment horizontal="center" vertical="center" wrapText="1"/>
    </xf>
    <xf numFmtId="0" fontId="23" fillId="0" borderId="47" xfId="0" applyFont="1" applyBorder="1" applyAlignment="1">
      <alignment horizontal="center" vertical="center" wrapText="1"/>
    </xf>
    <xf numFmtId="2" fontId="61" fillId="0" borderId="0" xfId="0" applyNumberFormat="1" applyFont="1" applyFill="1" applyBorder="1" applyAlignment="1">
      <alignment horizontal="right" vertical="center" wrapText="1"/>
    </xf>
    <xf numFmtId="0" fontId="7" fillId="0" borderId="12" xfId="0" applyFont="1" applyBorder="1" applyAlignment="1">
      <alignment vertical="center"/>
    </xf>
    <xf numFmtId="168" fontId="7" fillId="0" borderId="13" xfId="1" applyNumberFormat="1" applyFont="1" applyBorder="1" applyAlignment="1">
      <alignment horizontal="right" vertical="center"/>
    </xf>
    <xf numFmtId="0" fontId="25" fillId="0" borderId="14" xfId="0" applyFont="1" applyBorder="1" applyAlignment="1">
      <alignment horizontal="right" vertical="center"/>
    </xf>
    <xf numFmtId="10" fontId="21" fillId="0" borderId="13" xfId="0" applyNumberFormat="1" applyFont="1" applyBorder="1" applyAlignment="1">
      <alignment horizontal="right" vertical="center" wrapText="1"/>
    </xf>
    <xf numFmtId="0" fontId="11" fillId="6" borderId="10" xfId="0" applyFont="1" applyFill="1" applyBorder="1" applyAlignment="1">
      <alignment horizontal="center" vertical="center"/>
    </xf>
    <xf numFmtId="0" fontId="11" fillId="0" borderId="6" xfId="0" applyFont="1" applyFill="1" applyBorder="1" applyAlignment="1">
      <alignment horizontal="center" vertical="center"/>
    </xf>
    <xf numFmtId="4" fontId="11" fillId="3" borderId="6" xfId="0" applyNumberFormat="1" applyFont="1" applyFill="1" applyBorder="1" applyAlignment="1">
      <alignment vertical="center"/>
    </xf>
    <xf numFmtId="0" fontId="11" fillId="32" borderId="6" xfId="0" quotePrefix="1" applyFont="1" applyFill="1" applyBorder="1" applyAlignment="1">
      <alignment horizontal="center" vertical="center"/>
    </xf>
    <xf numFmtId="4" fontId="11" fillId="32" borderId="16" xfId="0" applyNumberFormat="1" applyFont="1" applyFill="1" applyBorder="1" applyAlignment="1">
      <alignment horizontal="right" vertical="center"/>
    </xf>
    <xf numFmtId="0" fontId="18" fillId="32" borderId="6" xfId="0" quotePrefix="1" applyFont="1" applyFill="1" applyBorder="1" applyAlignment="1">
      <alignment horizontal="left" vertical="center"/>
    </xf>
    <xf numFmtId="0" fontId="9" fillId="0" borderId="6" xfId="0" quotePrefix="1" applyFont="1" applyBorder="1" applyAlignment="1">
      <alignment horizontal="center" vertical="center"/>
    </xf>
    <xf numFmtId="0" fontId="0" fillId="0" borderId="0" xfId="0" applyAlignment="1">
      <alignment horizontal="center" vertical="center"/>
    </xf>
    <xf numFmtId="0" fontId="11" fillId="0" borderId="6" xfId="0" applyFont="1" applyFill="1" applyBorder="1" applyAlignment="1">
      <alignment horizontal="left" vertical="center" wrapText="1"/>
    </xf>
    <xf numFmtId="0" fontId="29" fillId="0" borderId="0" xfId="0" applyFont="1" applyAlignment="1">
      <alignment horizontal="left" vertical="center"/>
    </xf>
    <xf numFmtId="0" fontId="11" fillId="0" borderId="7" xfId="0" applyFont="1" applyBorder="1" applyAlignment="1">
      <alignment horizontal="center" vertical="center"/>
    </xf>
    <xf numFmtId="0" fontId="31" fillId="0" borderId="4" xfId="0" applyNumberFormat="1" applyFont="1" applyBorder="1" applyAlignment="1">
      <alignment horizontal="center" vertical="center"/>
    </xf>
    <xf numFmtId="0" fontId="31" fillId="0" borderId="10" xfId="0" applyNumberFormat="1" applyFont="1" applyBorder="1" applyAlignment="1">
      <alignment horizontal="center" vertical="center"/>
    </xf>
    <xf numFmtId="0" fontId="11" fillId="0" borderId="6" xfId="0" applyNumberFormat="1" applyFont="1" applyBorder="1" applyAlignment="1">
      <alignment horizontal="center" vertical="center"/>
    </xf>
    <xf numFmtId="0" fontId="11" fillId="0" borderId="8" xfId="0" applyNumberFormat="1" applyFont="1" applyBorder="1" applyAlignment="1">
      <alignment horizontal="center" vertical="center"/>
    </xf>
    <xf numFmtId="0" fontId="11" fillId="0" borderId="6" xfId="0" applyFont="1" applyFill="1" applyBorder="1" applyAlignment="1">
      <alignment horizontal="justify" vertical="center" wrapText="1"/>
    </xf>
    <xf numFmtId="0" fontId="11" fillId="0" borderId="6" xfId="0" applyFont="1" applyFill="1" applyBorder="1" applyAlignment="1">
      <alignment vertical="center" wrapText="1"/>
    </xf>
    <xf numFmtId="43" fontId="11" fillId="0" borderId="6" xfId="1" applyFont="1" applyFill="1" applyBorder="1" applyAlignment="1">
      <alignment horizontal="center" vertical="center"/>
    </xf>
    <xf numFmtId="4" fontId="11" fillId="0" borderId="10" xfId="0" applyNumberFormat="1" applyFont="1" applyBorder="1" applyAlignment="1">
      <alignment horizontal="center" vertical="center"/>
    </xf>
    <xf numFmtId="0" fontId="10" fillId="0" borderId="6" xfId="0" applyFont="1" applyFill="1" applyBorder="1" applyAlignment="1">
      <alignment horizontal="center" vertical="center"/>
    </xf>
    <xf numFmtId="0" fontId="11" fillId="0" borderId="6" xfId="1" applyNumberFormat="1" applyFont="1" applyFill="1" applyBorder="1" applyAlignment="1">
      <alignment horizontal="center" vertical="center"/>
    </xf>
    <xf numFmtId="0" fontId="11" fillId="0" borderId="6" xfId="0" applyFont="1" applyFill="1" applyBorder="1" applyAlignment="1" applyProtection="1">
      <alignment horizontal="center" vertical="center"/>
      <protection locked="0"/>
    </xf>
    <xf numFmtId="173" fontId="16" fillId="0" borderId="6" xfId="1" applyNumberFormat="1" applyFont="1" applyBorder="1" applyAlignment="1">
      <alignment horizontal="center" vertical="center"/>
    </xf>
    <xf numFmtId="173" fontId="15" fillId="0" borderId="6" xfId="1" applyNumberFormat="1" applyFont="1" applyBorder="1" applyAlignment="1">
      <alignment horizontal="center" vertical="center"/>
    </xf>
    <xf numFmtId="167" fontId="23" fillId="0" borderId="16" xfId="0" applyNumberFormat="1"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6" xfId="0" applyFont="1" applyBorder="1" applyAlignment="1">
      <alignment horizontal="center" vertical="center" wrapText="1"/>
    </xf>
    <xf numFmtId="0" fontId="23" fillId="0" borderId="6" xfId="0" applyFont="1" applyBorder="1" applyAlignment="1">
      <alignment horizontal="center" vertical="center"/>
    </xf>
    <xf numFmtId="0" fontId="31" fillId="0" borderId="14" xfId="0" applyFont="1" applyBorder="1" applyAlignment="1">
      <alignment wrapText="1"/>
    </xf>
    <xf numFmtId="2" fontId="11" fillId="6" borderId="14" xfId="1" applyNumberFormat="1" applyFont="1" applyFill="1" applyBorder="1" applyAlignment="1">
      <alignment horizontal="center" vertical="center"/>
    </xf>
    <xf numFmtId="0" fontId="11" fillId="0" borderId="18" xfId="0" applyFont="1" applyFill="1" applyBorder="1" applyAlignment="1">
      <alignment horizontal="center" vertical="center"/>
    </xf>
    <xf numFmtId="0" fontId="11" fillId="0" borderId="60" xfId="0" quotePrefix="1" applyFont="1" applyBorder="1" applyAlignment="1">
      <alignment horizontal="left" vertical="center" wrapText="1"/>
    </xf>
    <xf numFmtId="2" fontId="0" fillId="0" borderId="0" xfId="0" applyNumberFormat="1" applyAlignment="1">
      <alignment horizontal="left" vertical="center"/>
    </xf>
    <xf numFmtId="2" fontId="70" fillId="0" borderId="0" xfId="0" applyNumberFormat="1" applyFont="1" applyAlignment="1">
      <alignment horizontal="left" vertical="center"/>
    </xf>
    <xf numFmtId="0" fontId="23" fillId="5" borderId="34" xfId="0" applyFont="1" applyFill="1" applyBorder="1" applyAlignment="1">
      <alignment horizontal="left" vertical="center" wrapText="1"/>
    </xf>
    <xf numFmtId="0" fontId="18" fillId="5" borderId="27" xfId="0" quotePrefix="1" applyFont="1" applyFill="1" applyBorder="1" applyAlignment="1">
      <alignment horizontal="left" vertical="center" wrapText="1"/>
    </xf>
    <xf numFmtId="0" fontId="11" fillId="0" borderId="6" xfId="0" applyFont="1" applyBorder="1" applyAlignment="1">
      <alignment horizontal="center" vertical="center" wrapText="1"/>
    </xf>
    <xf numFmtId="167" fontId="11" fillId="3" borderId="6" xfId="0" applyNumberFormat="1" applyFont="1" applyFill="1" applyBorder="1" applyAlignment="1">
      <alignment horizontal="right" vertical="center"/>
    </xf>
    <xf numFmtId="4" fontId="11" fillId="3"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wrapText="1"/>
    </xf>
    <xf numFmtId="4" fontId="11" fillId="0" borderId="6" xfId="0" applyNumberFormat="1" applyFont="1" applyBorder="1" applyAlignment="1">
      <alignment horizontal="right" vertical="center"/>
    </xf>
    <xf numFmtId="0" fontId="16" fillId="0" borderId="0" xfId="0" applyFont="1" applyBorder="1" applyAlignment="1">
      <alignment horizontal="left" vertical="center" wrapText="1"/>
    </xf>
    <xf numFmtId="0" fontId="16" fillId="0" borderId="6" xfId="0" applyNumberFormat="1" applyFont="1" applyBorder="1" applyAlignment="1">
      <alignment horizontal="center" vertical="center"/>
    </xf>
    <xf numFmtId="0" fontId="23" fillId="5" borderId="22" xfId="0" applyFont="1" applyFill="1" applyBorder="1" applyAlignment="1">
      <alignment horizontal="center" vertical="center"/>
    </xf>
    <xf numFmtId="0" fontId="23" fillId="5" borderId="22" xfId="0" applyFont="1" applyFill="1" applyBorder="1" applyAlignment="1">
      <alignment vertical="center"/>
    </xf>
    <xf numFmtId="0" fontId="23" fillId="0" borderId="24" xfId="0" applyFont="1" applyBorder="1" applyAlignment="1">
      <alignment vertical="center"/>
    </xf>
    <xf numFmtId="0" fontId="23" fillId="0" borderId="16" xfId="0" applyFont="1" applyBorder="1" applyAlignment="1">
      <alignment horizontal="center" vertical="center"/>
    </xf>
    <xf numFmtId="0" fontId="10" fillId="0" borderId="24" xfId="0" applyFont="1" applyBorder="1" applyAlignment="1">
      <alignment horizontal="center" vertical="center"/>
    </xf>
    <xf numFmtId="0" fontId="10" fillId="0" borderId="6" xfId="0" applyFont="1" applyFill="1" applyBorder="1" applyAlignment="1">
      <alignment vertical="center" wrapText="1"/>
    </xf>
    <xf numFmtId="175" fontId="10" fillId="0" borderId="16" xfId="0" applyNumberFormat="1" applyFont="1" applyBorder="1" applyAlignment="1">
      <alignment horizontal="center" vertical="center"/>
    </xf>
    <xf numFmtId="176" fontId="10" fillId="0" borderId="6" xfId="0" applyNumberFormat="1" applyFont="1" applyBorder="1" applyAlignment="1">
      <alignment horizontal="center" vertical="center"/>
    </xf>
    <xf numFmtId="0" fontId="10" fillId="6" borderId="24" xfId="0" applyFont="1" applyFill="1" applyBorder="1" applyAlignment="1">
      <alignment horizontal="center" vertical="center"/>
    </xf>
    <xf numFmtId="167" fontId="10" fillId="0" borderId="30" xfId="0" applyNumberFormat="1" applyFont="1" applyBorder="1" applyAlignment="1">
      <alignment horizontal="center" vertical="center" wrapText="1"/>
    </xf>
    <xf numFmtId="0" fontId="9" fillId="0" borderId="6" xfId="0" applyFont="1" applyBorder="1" applyAlignment="1">
      <alignment horizontal="center" vertical="center" wrapText="1"/>
    </xf>
    <xf numFmtId="171" fontId="11" fillId="0" borderId="6" xfId="0" applyNumberFormat="1" applyFont="1" applyBorder="1" applyAlignment="1">
      <alignment horizontal="center" vertical="center" wrapText="1"/>
    </xf>
    <xf numFmtId="0" fontId="10" fillId="0" borderId="57" xfId="0" applyFont="1" applyBorder="1" applyAlignment="1">
      <alignment wrapText="1"/>
    </xf>
    <xf numFmtId="0" fontId="23" fillId="0" borderId="6" xfId="0" applyFont="1" applyBorder="1" applyAlignment="1">
      <alignment horizontal="center" vertical="center" wrapText="1"/>
    </xf>
    <xf numFmtId="2" fontId="0" fillId="0" borderId="0" xfId="0" applyNumberFormat="1" applyFill="1"/>
    <xf numFmtId="2" fontId="71" fillId="0" borderId="0" xfId="0" applyNumberFormat="1" applyFont="1" applyFill="1" applyBorder="1" applyAlignment="1">
      <alignment horizontal="center" vertical="center"/>
    </xf>
    <xf numFmtId="0" fontId="0" fillId="0" borderId="0" xfId="0" applyFill="1"/>
    <xf numFmtId="2" fontId="71" fillId="0" borderId="0" xfId="0" applyNumberFormat="1" applyFont="1" applyFill="1" applyBorder="1" applyAlignment="1">
      <alignment horizontal="left" vertical="center"/>
    </xf>
    <xf numFmtId="0" fontId="11" fillId="32" borderId="24" xfId="0" applyFont="1" applyFill="1" applyBorder="1" applyAlignment="1">
      <alignment horizontal="center" vertical="center"/>
    </xf>
    <xf numFmtId="2" fontId="72" fillId="0" borderId="0" xfId="0" applyNumberFormat="1" applyFont="1" applyAlignment="1">
      <alignment horizontal="left" vertical="center"/>
    </xf>
    <xf numFmtId="0" fontId="11" fillId="0" borderId="25" xfId="0" applyFont="1" applyFill="1" applyBorder="1" applyAlignment="1">
      <alignment horizontal="center" vertical="center"/>
    </xf>
    <xf numFmtId="0" fontId="62" fillId="0" borderId="0" xfId="0" applyFont="1" applyBorder="1" applyAlignment="1">
      <alignment horizontal="left" vertical="center"/>
    </xf>
    <xf numFmtId="0" fontId="11" fillId="0" borderId="73" xfId="0" quotePrefix="1" applyFont="1" applyBorder="1" applyAlignment="1">
      <alignment horizontal="center" vertical="center"/>
    </xf>
    <xf numFmtId="2" fontId="65" fillId="0" borderId="0" xfId="0" applyNumberFormat="1" applyFont="1" applyFill="1" applyBorder="1" applyAlignment="1">
      <alignment horizontal="left" vertical="center" wrapText="1"/>
    </xf>
    <xf numFmtId="2" fontId="0" fillId="0" borderId="0" xfId="0" applyNumberFormat="1" applyFill="1" applyBorder="1" applyAlignment="1">
      <alignment horizontal="left" vertical="center"/>
    </xf>
    <xf numFmtId="0" fontId="11" fillId="0" borderId="25" xfId="0" quotePrefix="1" applyFont="1" applyBorder="1" applyAlignment="1">
      <alignment horizontal="center" vertical="center"/>
    </xf>
    <xf numFmtId="0" fontId="11" fillId="0" borderId="25" xfId="0" quotePrefix="1" applyFont="1" applyFill="1" applyBorder="1" applyAlignment="1">
      <alignment horizontal="center" vertical="center"/>
    </xf>
    <xf numFmtId="0" fontId="11" fillId="0" borderId="17" xfId="0" quotePrefix="1" applyFont="1" applyBorder="1" applyAlignment="1">
      <alignment horizontal="center" vertical="center"/>
    </xf>
    <xf numFmtId="0" fontId="7" fillId="2" borderId="22" xfId="0" quotePrefix="1" applyFont="1" applyFill="1" applyBorder="1" applyAlignment="1">
      <alignment horizontal="center" vertical="center"/>
    </xf>
    <xf numFmtId="0" fontId="7" fillId="33" borderId="6" xfId="0" quotePrefix="1" applyFont="1" applyFill="1" applyBorder="1" applyAlignment="1">
      <alignment horizontal="center" vertical="center"/>
    </xf>
    <xf numFmtId="0" fontId="16" fillId="0" borderId="6" xfId="1" applyNumberFormat="1" applyFont="1" applyFill="1" applyBorder="1" applyAlignment="1">
      <alignment horizontal="center" vertical="center"/>
    </xf>
    <xf numFmtId="0" fontId="24" fillId="0" borderId="24" xfId="0" applyFont="1" applyBorder="1" applyAlignment="1">
      <alignment horizontal="center" vertical="center"/>
    </xf>
    <xf numFmtId="0" fontId="24" fillId="0" borderId="32" xfId="0" applyFont="1" applyBorder="1" applyAlignment="1">
      <alignment horizontal="center" vertical="center"/>
    </xf>
    <xf numFmtId="167" fontId="24" fillId="0" borderId="6" xfId="0" applyNumberFormat="1" applyFont="1" applyBorder="1" applyAlignment="1">
      <alignment horizontal="center" vertical="center" wrapText="1"/>
    </xf>
    <xf numFmtId="2" fontId="18" fillId="0" borderId="0" xfId="3" applyNumberFormat="1" applyFont="1" applyFill="1" applyBorder="1" applyAlignment="1">
      <alignment vertical="center"/>
    </xf>
    <xf numFmtId="167" fontId="22" fillId="0" borderId="0" xfId="0" applyNumberFormat="1" applyFont="1" applyFill="1" applyBorder="1" applyAlignment="1">
      <alignment horizontal="center" vertical="center" wrapText="1"/>
    </xf>
    <xf numFmtId="167" fontId="16" fillId="0" borderId="0" xfId="0" applyNumberFormat="1" applyFont="1" applyFill="1" applyBorder="1" applyAlignment="1">
      <alignment horizontal="center" vertical="center" wrapText="1"/>
    </xf>
    <xf numFmtId="167" fontId="18" fillId="0" borderId="0" xfId="3" applyNumberFormat="1" applyFont="1" applyFill="1" applyBorder="1" applyAlignment="1">
      <alignment horizontal="center" vertical="center" wrapText="1"/>
    </xf>
    <xf numFmtId="170" fontId="35" fillId="0" borderId="0" xfId="3" applyNumberFormat="1" applyFont="1" applyFill="1" applyBorder="1" applyAlignment="1">
      <alignment vertical="center" wrapText="1"/>
    </xf>
    <xf numFmtId="0" fontId="18" fillId="5" borderId="49" xfId="3" applyFont="1" applyFill="1" applyBorder="1" applyAlignment="1">
      <alignment horizontal="right" vertical="center"/>
    </xf>
    <xf numFmtId="0" fontId="24" fillId="0" borderId="12" xfId="0" applyFont="1" applyBorder="1" applyAlignment="1">
      <alignment horizontal="center" vertical="center"/>
    </xf>
    <xf numFmtId="0" fontId="24" fillId="0" borderId="6" xfId="0" applyFont="1" applyBorder="1" applyAlignment="1">
      <alignment horizontal="left" vertical="center" wrapText="1"/>
    </xf>
    <xf numFmtId="0" fontId="24" fillId="0" borderId="34" xfId="0" applyFont="1" applyBorder="1"/>
    <xf numFmtId="0" fontId="17" fillId="0" borderId="34" xfId="0" applyFont="1" applyBorder="1"/>
    <xf numFmtId="0" fontId="17" fillId="0" borderId="0" xfId="0" applyFont="1" applyBorder="1"/>
    <xf numFmtId="0" fontId="10" fillId="0" borderId="0" xfId="0" applyFont="1" applyBorder="1"/>
    <xf numFmtId="167" fontId="25" fillId="0" borderId="16" xfId="0" applyNumberFormat="1" applyFont="1" applyBorder="1" applyAlignment="1">
      <alignment horizontal="center" vertical="center" wrapText="1"/>
    </xf>
    <xf numFmtId="167" fontId="23" fillId="2" borderId="44" xfId="3" applyNumberFormat="1" applyFont="1" applyFill="1" applyBorder="1" applyAlignment="1">
      <alignment horizontal="center" vertical="center" wrapText="1"/>
    </xf>
    <xf numFmtId="167" fontId="23" fillId="0" borderId="19" xfId="0" applyNumberFormat="1" applyFont="1" applyBorder="1" applyAlignment="1">
      <alignment horizontal="center" vertical="center" wrapText="1"/>
    </xf>
    <xf numFmtId="14" fontId="10" fillId="0" borderId="6" xfId="0" applyNumberFormat="1" applyFont="1" applyBorder="1" applyAlignment="1">
      <alignment horizontal="left" vertical="center" wrapText="1"/>
    </xf>
    <xf numFmtId="0" fontId="10" fillId="0" borderId="0" xfId="0" applyFont="1" applyFill="1" applyBorder="1" applyAlignment="1">
      <alignment vertical="center"/>
    </xf>
    <xf numFmtId="0" fontId="66" fillId="0" borderId="0" xfId="0" applyFont="1" applyFill="1" applyBorder="1" applyAlignment="1">
      <alignment vertical="center"/>
    </xf>
    <xf numFmtId="2" fontId="59" fillId="0" borderId="0" xfId="0" applyNumberFormat="1" applyFont="1" applyFill="1" applyBorder="1" applyAlignment="1">
      <alignment horizontal="left" vertical="center"/>
    </xf>
    <xf numFmtId="177" fontId="24" fillId="0" borderId="6" xfId="0" applyNumberFormat="1" applyFont="1" applyBorder="1" applyAlignment="1">
      <alignment horizontal="center" vertical="center" wrapText="1"/>
    </xf>
    <xf numFmtId="2" fontId="16" fillId="0" borderId="0" xfId="0" applyNumberFormat="1" applyFont="1" applyAlignment="1">
      <alignment horizontal="center" vertical="center"/>
    </xf>
    <xf numFmtId="0" fontId="16" fillId="0" borderId="0" xfId="1" applyNumberFormat="1" applyFont="1" applyFill="1" applyBorder="1" applyAlignment="1">
      <alignment horizontal="center" vertical="center"/>
    </xf>
    <xf numFmtId="173" fontId="16"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1" fillId="0" borderId="0" xfId="1" applyNumberFormat="1" applyFont="1" applyFill="1" applyBorder="1" applyAlignment="1" applyProtection="1">
      <alignment horizontal="center" vertical="center"/>
      <protection locked="0"/>
    </xf>
    <xf numFmtId="0" fontId="23" fillId="5" borderId="22" xfId="0" applyFont="1" applyFill="1" applyBorder="1" applyAlignment="1">
      <alignment horizontal="justify" vertical="center" wrapText="1"/>
    </xf>
    <xf numFmtId="0" fontId="23" fillId="5" borderId="22" xfId="0" applyFont="1" applyFill="1" applyBorder="1" applyAlignment="1">
      <alignment horizontal="left" vertical="center" wrapText="1"/>
    </xf>
    <xf numFmtId="0" fontId="10" fillId="0" borderId="0" xfId="0" applyFont="1" applyFill="1" applyBorder="1" applyAlignment="1">
      <alignment horizontal="center" vertical="center" wrapText="1"/>
    </xf>
    <xf numFmtId="0" fontId="23" fillId="2" borderId="45" xfId="0" applyFont="1" applyFill="1" applyBorder="1" applyAlignment="1">
      <alignment horizontal="center" vertical="center"/>
    </xf>
    <xf numFmtId="0" fontId="64" fillId="0" borderId="0" xfId="0" applyFont="1"/>
    <xf numFmtId="0" fontId="32" fillId="30" borderId="24" xfId="5" applyFont="1" applyFill="1" applyBorder="1" applyAlignment="1">
      <alignment horizontal="center" vertical="center" wrapText="1"/>
    </xf>
    <xf numFmtId="167" fontId="10" fillId="0" borderId="8" xfId="0" applyNumberFormat="1" applyFont="1" applyBorder="1" applyAlignment="1">
      <alignment horizontal="center" vertical="center"/>
    </xf>
    <xf numFmtId="0" fontId="10" fillId="0" borderId="24" xfId="0" quotePrefix="1" applyFont="1" applyBorder="1" applyAlignment="1">
      <alignment horizontal="center" vertical="center"/>
    </xf>
    <xf numFmtId="0" fontId="10" fillId="0" borderId="6" xfId="0" quotePrefix="1" applyFont="1" applyBorder="1" applyAlignment="1">
      <alignment horizontal="center" vertical="center"/>
    </xf>
    <xf numFmtId="2" fontId="60" fillId="0" borderId="0" xfId="0" applyNumberFormat="1" applyFont="1" applyAlignment="1">
      <alignment horizontal="center" vertical="center"/>
    </xf>
    <xf numFmtId="0" fontId="27" fillId="0" borderId="0" xfId="0" applyFont="1" applyAlignment="1">
      <alignment horizontal="center" vertical="center"/>
    </xf>
    <xf numFmtId="0" fontId="61" fillId="0" borderId="0" xfId="0" applyFont="1" applyAlignment="1">
      <alignment horizontal="center" vertical="center"/>
    </xf>
    <xf numFmtId="167" fontId="23" fillId="2" borderId="20" xfId="0" applyNumberFormat="1" applyFont="1" applyFill="1" applyBorder="1" applyAlignment="1">
      <alignment horizontal="center" vertical="center"/>
    </xf>
    <xf numFmtId="0" fontId="25" fillId="0" borderId="0" xfId="0" applyFont="1" applyBorder="1" applyAlignment="1">
      <alignment horizontal="justify" vertical="center" wrapText="1"/>
    </xf>
    <xf numFmtId="0" fontId="25" fillId="0" borderId="8" xfId="0" applyFont="1" applyBorder="1" applyAlignment="1">
      <alignment horizontal="center" vertical="center" wrapText="1"/>
    </xf>
    <xf numFmtId="171" fontId="25" fillId="0" borderId="8" xfId="0" applyNumberFormat="1" applyFont="1" applyBorder="1" applyAlignment="1">
      <alignment horizontal="center" vertical="center" wrapText="1"/>
    </xf>
    <xf numFmtId="0" fontId="23" fillId="6" borderId="8" xfId="0" applyFont="1" applyFill="1" applyBorder="1" applyAlignment="1">
      <alignment horizontal="center" vertical="center" wrapText="1"/>
    </xf>
    <xf numFmtId="167" fontId="25" fillId="0" borderId="13" xfId="0" applyNumberFormat="1" applyFont="1" applyBorder="1" applyAlignment="1">
      <alignment horizontal="center" vertical="center" wrapText="1"/>
    </xf>
    <xf numFmtId="0" fontId="32" fillId="30" borderId="6" xfId="5" applyFont="1" applyFill="1" applyBorder="1" applyAlignment="1">
      <alignment horizontal="center" vertical="center" wrapText="1"/>
    </xf>
    <xf numFmtId="0" fontId="32" fillId="30" borderId="6" xfId="5" applyFont="1" applyFill="1" applyBorder="1" applyAlignment="1">
      <alignment horizontal="left" vertical="center" wrapText="1"/>
    </xf>
    <xf numFmtId="176" fontId="24" fillId="0" borderId="6" xfId="0" applyNumberFormat="1" applyFont="1" applyBorder="1" applyAlignment="1">
      <alignment horizontal="center" vertical="center"/>
    </xf>
    <xf numFmtId="171" fontId="10" fillId="0" borderId="6" xfId="0" applyNumberFormat="1" applyFont="1" applyBorder="1" applyAlignment="1">
      <alignment horizontal="center" vertical="center" wrapText="1"/>
    </xf>
    <xf numFmtId="4" fontId="23" fillId="6" borderId="6" xfId="0" applyNumberFormat="1" applyFont="1" applyFill="1" applyBorder="1" applyAlignment="1">
      <alignment horizontal="right" vertical="center"/>
    </xf>
    <xf numFmtId="167" fontId="23" fillId="0" borderId="30" xfId="0" applyNumberFormat="1" applyFont="1" applyBorder="1" applyAlignment="1">
      <alignment horizontal="center" vertical="center" wrapText="1"/>
    </xf>
    <xf numFmtId="0" fontId="23" fillId="0" borderId="3" xfId="0" applyFont="1" applyBorder="1" applyAlignment="1">
      <alignment horizontal="justify" vertical="center" wrapText="1"/>
    </xf>
    <xf numFmtId="171" fontId="23" fillId="0" borderId="6" xfId="0" applyNumberFormat="1" applyFont="1" applyBorder="1" applyAlignment="1">
      <alignment horizontal="center" vertical="center" wrapText="1"/>
    </xf>
    <xf numFmtId="0" fontId="23" fillId="6" borderId="6" xfId="0" applyFont="1" applyFill="1" applyBorder="1" applyAlignment="1">
      <alignment horizontal="center" vertical="center" wrapText="1"/>
    </xf>
    <xf numFmtId="173" fontId="24" fillId="0" borderId="6"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0" fontId="10" fillId="0" borderId="40" xfId="0" applyFont="1" applyBorder="1" applyAlignment="1">
      <alignment horizontal="center" vertical="center"/>
    </xf>
    <xf numFmtId="2" fontId="10" fillId="0" borderId="57" xfId="0" applyNumberFormat="1" applyFont="1" applyBorder="1" applyAlignment="1">
      <alignment horizontal="center" vertical="center"/>
    </xf>
    <xf numFmtId="4" fontId="23" fillId="6" borderId="57" xfId="0" applyNumberFormat="1" applyFont="1" applyFill="1" applyBorder="1" applyAlignment="1">
      <alignment horizontal="right" vertical="center"/>
    </xf>
    <xf numFmtId="0" fontId="32" fillId="0" borderId="0" xfId="5" applyFont="1" applyFill="1" applyBorder="1" applyAlignment="1">
      <alignment horizontal="center" vertical="center" wrapText="1"/>
    </xf>
    <xf numFmtId="0" fontId="73" fillId="0" borderId="0" xfId="5" applyFont="1" applyBorder="1" applyAlignment="1">
      <alignment horizontal="center" vertical="center" wrapText="1"/>
    </xf>
    <xf numFmtId="4" fontId="73" fillId="0" borderId="0" xfId="5" applyNumberFormat="1" applyFont="1" applyFill="1" applyBorder="1" applyAlignment="1">
      <alignment horizontal="center" vertical="center" wrapText="1"/>
    </xf>
    <xf numFmtId="4" fontId="73" fillId="0" borderId="0" xfId="5" applyNumberFormat="1" applyFont="1" applyFill="1" applyBorder="1" applyAlignment="1" applyProtection="1">
      <alignment horizontal="center" vertical="center" wrapText="1"/>
      <protection locked="0"/>
    </xf>
    <xf numFmtId="0" fontId="0" fillId="0" borderId="0" xfId="0" applyAlignment="1"/>
    <xf numFmtId="164" fontId="24" fillId="0" borderId="6" xfId="0" applyNumberFormat="1" applyFont="1" applyBorder="1" applyAlignment="1">
      <alignment horizontal="center" vertical="center"/>
    </xf>
    <xf numFmtId="0" fontId="10" fillId="30" borderId="6" xfId="5" applyFont="1" applyFill="1" applyBorder="1" applyAlignment="1">
      <alignment horizontal="center" vertical="center" wrapText="1"/>
    </xf>
    <xf numFmtId="0" fontId="55" fillId="0" borderId="0" xfId="0" applyFont="1" applyAlignment="1">
      <alignment horizontal="center" vertical="center"/>
    </xf>
    <xf numFmtId="0" fontId="75" fillId="0" borderId="0" xfId="0" applyFont="1" applyAlignment="1">
      <alignment horizontal="left" vertical="center"/>
    </xf>
    <xf numFmtId="164" fontId="10" fillId="0" borderId="6" xfId="0" applyNumberFormat="1" applyFont="1" applyBorder="1" applyAlignment="1">
      <alignment horizontal="center" vertical="center"/>
    </xf>
    <xf numFmtId="0" fontId="23" fillId="5" borderId="22" xfId="0" applyFont="1" applyFill="1" applyBorder="1" applyAlignment="1">
      <alignment vertical="center" wrapText="1"/>
    </xf>
    <xf numFmtId="0" fontId="23" fillId="5" borderId="41" xfId="0" applyFont="1" applyFill="1" applyBorder="1" applyAlignment="1">
      <alignment horizontal="right" vertical="center"/>
    </xf>
    <xf numFmtId="0" fontId="71" fillId="0" borderId="0" xfId="0" applyFont="1" applyFill="1" applyBorder="1" applyAlignment="1">
      <alignment vertical="center"/>
    </xf>
    <xf numFmtId="0" fontId="62" fillId="0" borderId="0" xfId="0" applyFont="1" applyFill="1" applyBorder="1" applyAlignment="1">
      <alignment horizontal="left" vertical="center"/>
    </xf>
    <xf numFmtId="0" fontId="17" fillId="0" borderId="0" xfId="0" applyFont="1" applyAlignment="1">
      <alignment horizontal="left" vertical="center"/>
    </xf>
    <xf numFmtId="0" fontId="71" fillId="0" borderId="0" xfId="0" applyFont="1" applyFill="1" applyBorder="1" applyAlignment="1">
      <alignment vertical="center" wrapText="1"/>
    </xf>
    <xf numFmtId="0" fontId="24" fillId="0" borderId="36" xfId="0" applyFont="1" applyBorder="1" applyAlignment="1">
      <alignment horizontal="center" vertical="center" wrapText="1"/>
    </xf>
    <xf numFmtId="0" fontId="24" fillId="0" borderId="38" xfId="0" applyFont="1" applyBorder="1" applyAlignment="1">
      <alignment vertical="center" wrapText="1"/>
    </xf>
    <xf numFmtId="0" fontId="23" fillId="2" borderId="36" xfId="0" applyFont="1" applyFill="1" applyBorder="1" applyAlignment="1">
      <alignment horizontal="center" vertical="center"/>
    </xf>
    <xf numFmtId="0" fontId="23" fillId="5" borderId="37" xfId="0" applyFont="1" applyFill="1" applyBorder="1" applyAlignment="1">
      <alignment vertical="center" wrapText="1"/>
    </xf>
    <xf numFmtId="0" fontId="22" fillId="0" borderId="0" xfId="0" applyFont="1" applyAlignment="1">
      <alignment horizontal="center" vertical="center"/>
    </xf>
    <xf numFmtId="167" fontId="10" fillId="0" borderId="16" xfId="0" applyNumberFormat="1" applyFont="1" applyBorder="1" applyAlignment="1">
      <alignment horizontal="center" vertical="center"/>
    </xf>
    <xf numFmtId="172" fontId="24" fillId="0" borderId="6" xfId="0" applyNumberFormat="1" applyFont="1" applyBorder="1" applyAlignment="1">
      <alignment horizontal="center" vertical="center" wrapText="1"/>
    </xf>
    <xf numFmtId="167" fontId="23" fillId="0" borderId="16" xfId="0" applyNumberFormat="1" applyFont="1" applyBorder="1" applyAlignment="1">
      <alignment horizontal="center" vertical="center"/>
    </xf>
    <xf numFmtId="0" fontId="64" fillId="0" borderId="0" xfId="0" applyFont="1" applyAlignment="1">
      <alignment horizontal="left" vertical="center"/>
    </xf>
    <xf numFmtId="0" fontId="11" fillId="0" borderId="0" xfId="0" applyFont="1" applyAlignment="1">
      <alignment horizontal="left" vertical="center" wrapText="1" indent="1"/>
    </xf>
    <xf numFmtId="167" fontId="23" fillId="2" borderId="39" xfId="0" applyNumberFormat="1" applyFont="1" applyFill="1" applyBorder="1" applyAlignment="1">
      <alignment horizontal="center" vertical="center" wrapText="1"/>
    </xf>
    <xf numFmtId="0" fontId="23" fillId="5" borderId="43" xfId="0" applyFont="1" applyFill="1" applyBorder="1" applyAlignment="1">
      <alignment horizontal="left" vertical="center" wrapText="1" indent="1"/>
    </xf>
    <xf numFmtId="0" fontId="23" fillId="0" borderId="6" xfId="0" applyFont="1" applyBorder="1" applyAlignment="1">
      <alignment horizontal="justify" vertical="center" wrapText="1"/>
    </xf>
    <xf numFmtId="0" fontId="24" fillId="0" borderId="6" xfId="0" applyFont="1" applyBorder="1" applyAlignment="1">
      <alignment horizontal="center" vertical="center" wrapText="1"/>
    </xf>
    <xf numFmtId="0" fontId="11" fillId="2" borderId="45" xfId="3" applyFont="1" applyFill="1" applyBorder="1" applyAlignment="1">
      <alignment horizontal="center" vertical="center"/>
    </xf>
    <xf numFmtId="167" fontId="18" fillId="2" borderId="49" xfId="3" applyNumberFormat="1" applyFont="1" applyFill="1" applyBorder="1" applyAlignment="1">
      <alignment horizontal="center" vertical="center" wrapText="1"/>
    </xf>
    <xf numFmtId="0" fontId="75" fillId="0" borderId="0" xfId="0" applyFont="1" applyAlignment="1">
      <alignment horizontal="left" vertical="center" wrapText="1"/>
    </xf>
    <xf numFmtId="0" fontId="24" fillId="0" borderId="0" xfId="0" applyFont="1" applyAlignment="1">
      <alignment horizontal="left" vertical="center"/>
    </xf>
    <xf numFmtId="0" fontId="10" fillId="6" borderId="6" xfId="0" quotePrefix="1" applyFont="1" applyFill="1" applyBorder="1" applyAlignment="1">
      <alignment horizontal="left" vertical="center" wrapText="1"/>
    </xf>
    <xf numFmtId="0" fontId="23" fillId="5" borderId="36" xfId="0" applyFont="1" applyFill="1" applyBorder="1" applyAlignment="1">
      <alignment horizontal="center" vertical="center"/>
    </xf>
    <xf numFmtId="0" fontId="23" fillId="5" borderId="37" xfId="0" applyFont="1" applyFill="1" applyBorder="1" applyAlignment="1">
      <alignment horizontal="left" vertical="center" wrapText="1"/>
    </xf>
    <xf numFmtId="167" fontId="18" fillId="5" borderId="37" xfId="0" applyNumberFormat="1" applyFont="1" applyFill="1" applyBorder="1" applyAlignment="1">
      <alignment horizontal="center" vertical="center"/>
    </xf>
    <xf numFmtId="167" fontId="11" fillId="5" borderId="37" xfId="0" applyNumberFormat="1" applyFont="1" applyFill="1" applyBorder="1" applyAlignment="1">
      <alignment vertical="center"/>
    </xf>
    <xf numFmtId="167" fontId="11" fillId="5" borderId="39" xfId="0" applyNumberFormat="1" applyFont="1" applyFill="1" applyBorder="1" applyAlignment="1">
      <alignment horizontal="center" vertical="center"/>
    </xf>
    <xf numFmtId="0" fontId="18" fillId="0" borderId="24" xfId="0" applyFont="1" applyFill="1" applyBorder="1" applyAlignment="1">
      <alignment vertical="center"/>
    </xf>
    <xf numFmtId="0" fontId="23" fillId="0" borderId="6" xfId="0" applyFont="1" applyFill="1" applyBorder="1" applyAlignment="1">
      <alignment horizontal="justify" vertical="center" wrapText="1"/>
    </xf>
    <xf numFmtId="0" fontId="23" fillId="0" borderId="6" xfId="0" applyFont="1" applyFill="1" applyBorder="1" applyAlignment="1">
      <alignment horizontal="center" vertical="center" wrapText="1"/>
    </xf>
    <xf numFmtId="171" fontId="23" fillId="0" borderId="6" xfId="0" applyNumberFormat="1" applyFont="1" applyFill="1" applyBorder="1" applyAlignment="1">
      <alignment horizontal="center" vertical="center" wrapText="1"/>
    </xf>
    <xf numFmtId="167" fontId="23" fillId="0" borderId="6" xfId="0" applyNumberFormat="1" applyFont="1" applyFill="1" applyBorder="1" applyAlignment="1">
      <alignment horizontal="center" vertical="center" wrapText="1"/>
    </xf>
    <xf numFmtId="0" fontId="10" fillId="0" borderId="24" xfId="0" applyFont="1" applyFill="1" applyBorder="1" applyAlignment="1">
      <alignment horizontal="center" vertical="center"/>
    </xf>
    <xf numFmtId="0" fontId="16" fillId="0" borderId="6" xfId="0" applyFont="1" applyFill="1" applyBorder="1" applyAlignment="1">
      <alignment horizontal="center" vertical="center" wrapText="1"/>
    </xf>
    <xf numFmtId="172" fontId="10" fillId="0" borderId="6" xfId="0" applyNumberFormat="1" applyFont="1" applyFill="1" applyBorder="1" applyAlignment="1">
      <alignment horizontal="center" vertical="center"/>
    </xf>
    <xf numFmtId="167" fontId="10" fillId="0" borderId="6" xfId="0" applyNumberFormat="1" applyFont="1" applyFill="1" applyBorder="1" applyAlignment="1">
      <alignment horizontal="center" vertical="center"/>
    </xf>
    <xf numFmtId="167" fontId="10" fillId="0" borderId="16" xfId="0" applyNumberFormat="1" applyFont="1" applyFill="1" applyBorder="1" applyAlignment="1">
      <alignment horizontal="center" vertical="center"/>
    </xf>
    <xf numFmtId="0" fontId="32" fillId="0" borderId="6" xfId="5" applyFont="1" applyFill="1" applyBorder="1" applyAlignment="1">
      <alignment horizontal="left" vertical="center" wrapText="1"/>
    </xf>
    <xf numFmtId="167" fontId="11" fillId="0" borderId="6" xfId="0" applyNumberFormat="1" applyFont="1" applyFill="1" applyBorder="1" applyAlignment="1">
      <alignment vertical="center" wrapText="1"/>
    </xf>
    <xf numFmtId="167" fontId="11" fillId="0" borderId="6" xfId="0" applyNumberFormat="1" applyFont="1" applyFill="1" applyBorder="1" applyAlignment="1">
      <alignment vertical="center"/>
    </xf>
    <xf numFmtId="167" fontId="23" fillId="0" borderId="16" xfId="0" applyNumberFormat="1" applyFont="1" applyFill="1" applyBorder="1" applyAlignment="1">
      <alignment horizontal="center" vertical="center"/>
    </xf>
    <xf numFmtId="0" fontId="16" fillId="0" borderId="24" xfId="0" applyFont="1" applyFill="1" applyBorder="1" applyAlignment="1">
      <alignment horizontal="center" vertical="center"/>
    </xf>
    <xf numFmtId="0" fontId="22" fillId="0" borderId="9" xfId="0" applyFont="1" applyFill="1" applyBorder="1" applyAlignment="1">
      <alignment horizontal="justify" vertical="center" wrapText="1"/>
    </xf>
    <xf numFmtId="0" fontId="25" fillId="0" borderId="6" xfId="0" applyFont="1" applyFill="1" applyBorder="1" applyAlignment="1">
      <alignment horizontal="center" vertical="center" wrapText="1"/>
    </xf>
    <xf numFmtId="171" fontId="25" fillId="0" borderId="6" xfId="0" applyNumberFormat="1" applyFont="1" applyFill="1" applyBorder="1" applyAlignment="1">
      <alignment horizontal="center" vertical="center" wrapText="1"/>
    </xf>
    <xf numFmtId="167" fontId="25" fillId="0" borderId="16" xfId="0" applyNumberFormat="1" applyFont="1" applyFill="1" applyBorder="1" applyAlignment="1">
      <alignment horizontal="center" vertical="center" wrapText="1"/>
    </xf>
    <xf numFmtId="166" fontId="10" fillId="0" borderId="24" xfId="0" applyNumberFormat="1" applyFont="1" applyFill="1" applyBorder="1" applyAlignment="1">
      <alignment horizontal="center" vertical="center" wrapText="1"/>
    </xf>
    <xf numFmtId="171" fontId="24" fillId="0" borderId="6" xfId="0" applyNumberFormat="1" applyFont="1" applyFill="1" applyBorder="1" applyAlignment="1">
      <alignment horizontal="center" vertical="center" wrapText="1"/>
    </xf>
    <xf numFmtId="0" fontId="24" fillId="0" borderId="6" xfId="0" applyFont="1" applyFill="1" applyBorder="1" applyAlignment="1">
      <alignment horizontal="left" vertical="center" wrapText="1"/>
    </xf>
    <xf numFmtId="0" fontId="24" fillId="0" borderId="0" xfId="0" applyFont="1"/>
    <xf numFmtId="166" fontId="11" fillId="0" borderId="24" xfId="0" applyNumberFormat="1" applyFont="1" applyFill="1" applyBorder="1" applyAlignment="1">
      <alignment horizontal="center" vertical="center" wrapText="1"/>
    </xf>
    <xf numFmtId="167" fontId="25" fillId="0" borderId="35" xfId="0" applyNumberFormat="1" applyFont="1" applyFill="1" applyBorder="1" applyAlignment="1">
      <alignment horizontal="center" vertical="center" wrapText="1"/>
    </xf>
    <xf numFmtId="0" fontId="11" fillId="0" borderId="36" xfId="0" applyFont="1" applyFill="1" applyBorder="1" applyAlignment="1">
      <alignment horizontal="center" vertical="center"/>
    </xf>
    <xf numFmtId="167" fontId="23" fillId="0" borderId="39" xfId="0" applyNumberFormat="1" applyFont="1" applyFill="1" applyBorder="1" applyAlignment="1">
      <alignment horizontal="center" vertical="center" wrapText="1"/>
    </xf>
    <xf numFmtId="0" fontId="24" fillId="0" borderId="6" xfId="0" applyFont="1" applyBorder="1" applyAlignment="1">
      <alignment horizontal="left" vertical="center"/>
    </xf>
    <xf numFmtId="0" fontId="0" fillId="0" borderId="0" xfId="0" applyAlignment="1">
      <alignment horizontal="left"/>
    </xf>
    <xf numFmtId="0" fontId="23" fillId="5" borderId="22" xfId="0" quotePrefix="1" applyFont="1" applyFill="1" applyBorder="1" applyAlignment="1">
      <alignment horizontal="left" vertical="center" wrapText="1"/>
    </xf>
    <xf numFmtId="0" fontId="10" fillId="0" borderId="10" xfId="0" applyFont="1" applyBorder="1" applyAlignment="1">
      <alignment horizontal="justify" vertical="center" wrapText="1"/>
    </xf>
    <xf numFmtId="0" fontId="10" fillId="0" borderId="31" xfId="0" applyFont="1" applyBorder="1" applyAlignment="1">
      <alignment horizontal="center" vertical="center" wrapText="1"/>
    </xf>
    <xf numFmtId="0" fontId="26" fillId="0" borderId="0" xfId="0" applyFont="1" applyFill="1" applyBorder="1" applyAlignment="1">
      <alignment wrapText="1"/>
    </xf>
    <xf numFmtId="0" fontId="11" fillId="0" borderId="0" xfId="0" applyFont="1" applyFill="1" applyBorder="1" applyAlignment="1">
      <alignment horizontal="center" vertical="center"/>
    </xf>
    <xf numFmtId="2" fontId="16" fillId="0" borderId="0" xfId="0" applyNumberFormat="1" applyFont="1" applyFill="1" applyBorder="1" applyAlignment="1">
      <alignment horizontal="center" vertical="center"/>
    </xf>
    <xf numFmtId="167" fontId="25"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167" fontId="24" fillId="0" borderId="0" xfId="0" applyNumberFormat="1" applyFont="1" applyFill="1" applyBorder="1" applyAlignment="1">
      <alignment horizontal="center" vertical="center" wrapText="1"/>
    </xf>
    <xf numFmtId="167" fontId="10" fillId="0" borderId="0" xfId="0" applyNumberFormat="1" applyFont="1" applyFill="1" applyBorder="1" applyAlignment="1">
      <alignment horizontal="center" vertical="center"/>
    </xf>
    <xf numFmtId="0" fontId="23" fillId="5" borderId="45" xfId="0" applyFont="1" applyFill="1" applyBorder="1" applyAlignment="1">
      <alignment horizontal="center" vertical="center"/>
    </xf>
    <xf numFmtId="171" fontId="24" fillId="0" borderId="6" xfId="0" applyNumberFormat="1" applyFont="1" applyBorder="1" applyAlignment="1">
      <alignment horizontal="center" vertical="center" wrapText="1"/>
    </xf>
    <xf numFmtId="167" fontId="25" fillId="0" borderId="58" xfId="0" applyNumberFormat="1" applyFont="1" applyBorder="1" applyAlignment="1">
      <alignment horizontal="center" vertical="center" wrapText="1"/>
    </xf>
    <xf numFmtId="167" fontId="23" fillId="2" borderId="39" xfId="3" applyNumberFormat="1" applyFont="1" applyFill="1" applyBorder="1" applyAlignment="1">
      <alignment horizontal="center" vertical="center" wrapText="1"/>
    </xf>
    <xf numFmtId="0" fontId="11" fillId="0" borderId="0" xfId="3" applyFont="1" applyFill="1" applyBorder="1" applyAlignment="1">
      <alignment horizontal="center" vertical="center"/>
    </xf>
    <xf numFmtId="0" fontId="10" fillId="0" borderId="3" xfId="0" applyFont="1" applyBorder="1" applyAlignment="1">
      <alignment horizontal="left" vertical="center" wrapText="1"/>
    </xf>
    <xf numFmtId="14"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wrapText="1"/>
    </xf>
    <xf numFmtId="2" fontId="24" fillId="0" borderId="0"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77" fillId="0" borderId="0" xfId="0" applyFont="1" applyAlignment="1">
      <alignment horizontal="left" vertical="center" wrapText="1"/>
    </xf>
    <xf numFmtId="0" fontId="11" fillId="6" borderId="6" xfId="0" applyNumberFormat="1" applyFont="1" applyFill="1" applyBorder="1" applyAlignment="1">
      <alignment horizontal="left" vertical="center" wrapText="1"/>
    </xf>
    <xf numFmtId="2" fontId="15" fillId="0" borderId="0" xfId="0" applyNumberFormat="1" applyFont="1" applyFill="1" applyBorder="1" applyAlignment="1">
      <alignment horizontal="left" vertical="center"/>
    </xf>
    <xf numFmtId="2" fontId="15" fillId="0" borderId="0" xfId="0" applyNumberFormat="1" applyFont="1" applyAlignment="1">
      <alignment horizontal="left" vertical="center"/>
    </xf>
    <xf numFmtId="2" fontId="75" fillId="0" borderId="0" xfId="0" applyNumberFormat="1" applyFont="1" applyFill="1" applyBorder="1" applyAlignment="1">
      <alignment horizontal="left" vertical="center"/>
    </xf>
    <xf numFmtId="2" fontId="15" fillId="0" borderId="0" xfId="0" applyNumberFormat="1" applyFont="1" applyFill="1" applyBorder="1" applyAlignment="1">
      <alignment horizontal="left" vertical="center" wrapText="1"/>
    </xf>
    <xf numFmtId="2" fontId="21" fillId="0" borderId="0" xfId="0" applyNumberFormat="1" applyFont="1" applyFill="1" applyBorder="1" applyAlignment="1">
      <alignment horizontal="left" vertical="center" wrapText="1"/>
    </xf>
    <xf numFmtId="0" fontId="16" fillId="0" borderId="0" xfId="0" applyFont="1" applyAlignment="1">
      <alignment horizontal="center" vertical="center"/>
    </xf>
    <xf numFmtId="0" fontId="11" fillId="0" borderId="0" xfId="0" applyFont="1" applyAlignment="1">
      <alignment horizontal="center" vertical="center"/>
    </xf>
    <xf numFmtId="2" fontId="16" fillId="0" borderId="0" xfId="0" applyNumberFormat="1" applyFont="1" applyFill="1" applyBorder="1" applyAlignment="1">
      <alignment horizontal="left" vertical="center"/>
    </xf>
    <xf numFmtId="0" fontId="9" fillId="0" borderId="0" xfId="0" applyFont="1" applyBorder="1" applyAlignment="1">
      <alignment vertical="center" wrapText="1"/>
    </xf>
    <xf numFmtId="0" fontId="16" fillId="0" borderId="0" xfId="0" applyFont="1" applyBorder="1" applyAlignment="1">
      <alignment horizontal="center" vertical="center"/>
    </xf>
    <xf numFmtId="0" fontId="71" fillId="0" borderId="0" xfId="0" applyFont="1" applyFill="1" applyBorder="1" applyAlignment="1">
      <alignment horizontal="left" vertical="center"/>
    </xf>
    <xf numFmtId="0" fontId="18" fillId="0" borderId="26" xfId="0" applyFont="1" applyBorder="1" applyAlignment="1">
      <alignment horizontal="left" vertical="center" wrapText="1"/>
    </xf>
    <xf numFmtId="0" fontId="18" fillId="0" borderId="12" xfId="0" applyFont="1" applyBorder="1" applyAlignment="1">
      <alignment horizontal="left" vertical="center" wrapText="1"/>
    </xf>
    <xf numFmtId="0" fontId="18" fillId="0" borderId="48" xfId="0" applyFont="1" applyBorder="1" applyAlignment="1">
      <alignment horizontal="left" vertical="center" wrapText="1"/>
    </xf>
    <xf numFmtId="0" fontId="11" fillId="0" borderId="46" xfId="0" applyFont="1" applyBorder="1" applyAlignment="1">
      <alignment horizontal="left" vertical="center"/>
    </xf>
    <xf numFmtId="0" fontId="11" fillId="0" borderId="46" xfId="0" applyFont="1" applyBorder="1" applyAlignment="1">
      <alignment horizontal="center" vertical="center"/>
    </xf>
    <xf numFmtId="0" fontId="18" fillId="0" borderId="0" xfId="0" applyFont="1" applyBorder="1" applyAlignment="1">
      <alignment vertical="center" wrapText="1"/>
    </xf>
    <xf numFmtId="10" fontId="11" fillId="0" borderId="13" xfId="0" applyNumberFormat="1" applyFont="1" applyBorder="1" applyAlignment="1">
      <alignment horizontal="right" vertical="center" wrapText="1"/>
    </xf>
    <xf numFmtId="164" fontId="18" fillId="0" borderId="0" xfId="0" applyNumberFormat="1" applyFont="1" applyBorder="1" applyAlignment="1">
      <alignment vertical="center" wrapText="1"/>
    </xf>
    <xf numFmtId="164" fontId="18" fillId="0" borderId="46" xfId="0" applyNumberFormat="1" applyFont="1" applyBorder="1" applyAlignment="1">
      <alignment vertical="center" wrapText="1"/>
    </xf>
    <xf numFmtId="0" fontId="11" fillId="0" borderId="47" xfId="0" applyFont="1" applyBorder="1" applyAlignment="1">
      <alignment horizontal="right" vertical="center" wrapText="1"/>
    </xf>
    <xf numFmtId="2" fontId="16" fillId="0" borderId="0" xfId="0" applyNumberFormat="1" applyFont="1" applyAlignment="1">
      <alignment horizontal="left" vertical="center"/>
    </xf>
    <xf numFmtId="2" fontId="35" fillId="0" borderId="0" xfId="0" applyNumberFormat="1" applyFont="1" applyFill="1" applyBorder="1" applyAlignment="1">
      <alignment horizontal="center" vertical="center"/>
    </xf>
    <xf numFmtId="1"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4" fontId="71"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1" fillId="0" borderId="0" xfId="0" applyNumberFormat="1" applyFont="1" applyAlignment="1">
      <alignment horizontal="center" vertical="center" wrapText="1"/>
    </xf>
    <xf numFmtId="0" fontId="11" fillId="0" borderId="0" xfId="0" quotePrefix="1" applyFont="1" applyFill="1" applyBorder="1" applyAlignment="1">
      <alignment horizontal="center" vertical="center"/>
    </xf>
    <xf numFmtId="2" fontId="9" fillId="0" borderId="0" xfId="0" applyNumberFormat="1" applyFont="1" applyFill="1" applyBorder="1" applyAlignment="1">
      <alignment horizontal="left" vertical="center" wrapText="1"/>
    </xf>
    <xf numFmtId="0" fontId="24" fillId="0" borderId="0" xfId="0" applyFont="1" applyAlignment="1">
      <alignment horizontal="center" vertical="center"/>
    </xf>
    <xf numFmtId="2" fontId="10" fillId="0" borderId="0" xfId="0" applyNumberFormat="1" applyFont="1" applyAlignment="1">
      <alignment horizontal="center" vertical="center"/>
    </xf>
    <xf numFmtId="2" fontId="10" fillId="0" borderId="0" xfId="0" applyNumberFormat="1" applyFont="1" applyFill="1" applyBorder="1" applyAlignment="1">
      <alignment horizontal="center" vertical="center"/>
    </xf>
    <xf numFmtId="0" fontId="18" fillId="36" borderId="25" xfId="0" quotePrefix="1" applyFont="1" applyFill="1" applyBorder="1" applyAlignment="1">
      <alignment horizontal="center" vertical="center"/>
    </xf>
    <xf numFmtId="0" fontId="7" fillId="36" borderId="6" xfId="0" quotePrefix="1" applyFont="1" applyFill="1" applyBorder="1" applyAlignment="1">
      <alignment horizontal="center" vertical="center"/>
    </xf>
    <xf numFmtId="0" fontId="22" fillId="36" borderId="6" xfId="0" applyFont="1" applyFill="1" applyBorder="1" applyAlignment="1">
      <alignment horizontal="justify" vertical="center"/>
    </xf>
    <xf numFmtId="0" fontId="11" fillId="36" borderId="6" xfId="0" quotePrefix="1" applyFont="1" applyFill="1" applyBorder="1" applyAlignment="1">
      <alignment horizontal="center" vertical="center"/>
    </xf>
    <xf numFmtId="4" fontId="7" fillId="36" borderId="6" xfId="0" applyNumberFormat="1" applyFont="1" applyFill="1" applyBorder="1" applyAlignment="1">
      <alignment horizontal="center" vertical="center" wrapText="1"/>
    </xf>
    <xf numFmtId="2" fontId="11" fillId="36" borderId="6" xfId="1" applyNumberFormat="1" applyFont="1" applyFill="1" applyBorder="1" applyAlignment="1">
      <alignment horizontal="center" vertical="center"/>
    </xf>
    <xf numFmtId="4" fontId="7" fillId="36" borderId="16" xfId="0" applyNumberFormat="1" applyFont="1" applyFill="1" applyBorder="1" applyAlignment="1">
      <alignment horizontal="center" vertical="center" wrapText="1"/>
    </xf>
    <xf numFmtId="0" fontId="18" fillId="36" borderId="26" xfId="0" quotePrefix="1" applyFont="1" applyFill="1" applyBorder="1" applyAlignment="1">
      <alignment horizontal="center" vertical="center"/>
    </xf>
    <xf numFmtId="0" fontId="7" fillId="36" borderId="22" xfId="0" quotePrefix="1" applyFont="1" applyFill="1" applyBorder="1" applyAlignment="1">
      <alignment horizontal="center" vertical="center"/>
    </xf>
    <xf numFmtId="0" fontId="18" fillId="36" borderId="78" xfId="0" applyFont="1" applyFill="1" applyBorder="1" applyAlignment="1">
      <alignment horizontal="left" vertical="center" wrapText="1"/>
    </xf>
    <xf numFmtId="0" fontId="11" fillId="36" borderId="22" xfId="0" quotePrefix="1" applyFont="1" applyFill="1" applyBorder="1" applyAlignment="1">
      <alignment horizontal="center" vertical="center"/>
    </xf>
    <xf numFmtId="4" fontId="7" fillId="36" borderId="41" xfId="0" applyNumberFormat="1" applyFont="1" applyFill="1" applyBorder="1" applyAlignment="1">
      <alignment horizontal="center" vertical="center" wrapText="1"/>
    </xf>
    <xf numFmtId="0" fontId="18" fillId="33" borderId="24" xfId="0" quotePrefix="1" applyFont="1" applyFill="1" applyBorder="1" applyAlignment="1">
      <alignment horizontal="center" vertical="center"/>
    </xf>
    <xf numFmtId="0" fontId="7" fillId="33" borderId="8" xfId="0" quotePrefix="1" applyFont="1" applyFill="1" applyBorder="1" applyAlignment="1">
      <alignment horizontal="center" vertical="center"/>
    </xf>
    <xf numFmtId="0" fontId="18" fillId="33" borderId="6" xfId="0" applyFont="1" applyFill="1" applyBorder="1" applyAlignment="1">
      <alignment horizontal="left" vertical="center" wrapText="1"/>
    </xf>
    <xf numFmtId="0" fontId="11" fillId="33" borderId="8" xfId="0" quotePrefix="1" applyFont="1" applyFill="1" applyBorder="1" applyAlignment="1">
      <alignment horizontal="center" vertical="center"/>
    </xf>
    <xf numFmtId="4" fontId="7" fillId="33" borderId="15" xfId="0" applyNumberFormat="1" applyFont="1" applyFill="1" applyBorder="1" applyAlignment="1">
      <alignment horizontal="center" vertical="center" wrapText="1"/>
    </xf>
    <xf numFmtId="173" fontId="16" fillId="0" borderId="0" xfId="1" applyNumberFormat="1" applyFont="1" applyBorder="1" applyAlignment="1">
      <alignment horizontal="center" vertical="center"/>
    </xf>
    <xf numFmtId="0" fontId="16" fillId="0" borderId="0" xfId="0" applyFont="1" applyFill="1" applyAlignment="1">
      <alignment horizontal="center" vertical="center"/>
    </xf>
    <xf numFmtId="0" fontId="16" fillId="0" borderId="0" xfId="1" applyNumberFormat="1" applyFont="1" applyFill="1" applyBorder="1" applyAlignment="1">
      <alignment horizontal="left" vertical="center"/>
    </xf>
    <xf numFmtId="0" fontId="7" fillId="5" borderId="20" xfId="0" quotePrefix="1" applyFont="1" applyFill="1" applyBorder="1" applyAlignment="1">
      <alignment horizontal="center" vertical="center"/>
    </xf>
    <xf numFmtId="0" fontId="11" fillId="6" borderId="6" xfId="0" quotePrefix="1" applyFont="1" applyFill="1" applyBorder="1" applyAlignment="1">
      <alignment horizontal="center" vertical="center" wrapText="1"/>
    </xf>
    <xf numFmtId="0" fontId="28" fillId="0" borderId="9" xfId="0" applyFont="1" applyBorder="1" applyAlignment="1">
      <alignment horizontal="center" vertical="center"/>
    </xf>
    <xf numFmtId="0" fontId="18" fillId="33" borderId="24" xfId="0" applyFont="1" applyFill="1" applyBorder="1" applyAlignment="1">
      <alignment horizontal="center" vertical="center"/>
    </xf>
    <xf numFmtId="0" fontId="34" fillId="33" borderId="6" xfId="0" applyFont="1" applyFill="1" applyBorder="1" applyAlignment="1">
      <alignment horizontal="left" vertical="center" wrapText="1"/>
    </xf>
    <xf numFmtId="0" fontId="30" fillId="33" borderId="6" xfId="0" applyNumberFormat="1" applyFont="1" applyFill="1" applyBorder="1" applyAlignment="1">
      <alignment horizontal="center" vertical="center" wrapText="1"/>
    </xf>
    <xf numFmtId="167" fontId="11" fillId="0"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xf>
    <xf numFmtId="4" fontId="11" fillId="0" borderId="9" xfId="0" applyNumberFormat="1" applyFont="1" applyBorder="1" applyAlignment="1">
      <alignment horizontal="right" vertical="center"/>
    </xf>
    <xf numFmtId="2" fontId="11" fillId="3" borderId="6" xfId="0" applyNumberFormat="1" applyFont="1" applyFill="1" applyBorder="1" applyAlignment="1">
      <alignment horizontal="right" vertical="center"/>
    </xf>
    <xf numFmtId="167" fontId="11" fillId="0" borderId="7" xfId="0" applyNumberFormat="1" applyFont="1" applyFill="1" applyBorder="1" applyAlignment="1">
      <alignment horizontal="right" vertical="center" wrapText="1"/>
    </xf>
    <xf numFmtId="4" fontId="11" fillId="0" borderId="2" xfId="0" applyNumberFormat="1" applyFont="1" applyBorder="1" applyAlignment="1">
      <alignment horizontal="right" vertical="center"/>
    </xf>
    <xf numFmtId="4" fontId="16" fillId="0" borderId="0" xfId="0" applyNumberFormat="1" applyFont="1" applyBorder="1" applyAlignment="1">
      <alignment horizontal="center" vertical="center"/>
    </xf>
    <xf numFmtId="4" fontId="7" fillId="33" borderId="6" xfId="0" applyNumberFormat="1" applyFont="1" applyFill="1" applyBorder="1" applyAlignment="1">
      <alignment horizontal="right" vertical="center" wrapText="1"/>
    </xf>
    <xf numFmtId="2" fontId="0" fillId="0" borderId="0" xfId="0" applyNumberFormat="1" applyFont="1" applyBorder="1" applyAlignment="1">
      <alignment horizontal="left" vertical="center"/>
    </xf>
    <xf numFmtId="167" fontId="11" fillId="33" borderId="7" xfId="0" applyNumberFormat="1" applyFont="1" applyFill="1" applyBorder="1" applyAlignment="1">
      <alignment horizontal="right" vertical="center" wrapText="1"/>
    </xf>
    <xf numFmtId="4" fontId="11" fillId="33" borderId="2" xfId="0" applyNumberFormat="1" applyFont="1" applyFill="1" applyBorder="1" applyAlignment="1">
      <alignment horizontal="right" vertical="center"/>
    </xf>
    <xf numFmtId="4" fontId="11" fillId="33" borderId="35" xfId="0" applyNumberFormat="1" applyFont="1" applyFill="1" applyBorder="1" applyAlignment="1">
      <alignment horizontal="right" vertical="center"/>
    </xf>
    <xf numFmtId="2" fontId="16" fillId="0" borderId="0" xfId="0" applyNumberFormat="1" applyFont="1" applyBorder="1" applyAlignment="1">
      <alignment horizontal="left" vertical="center"/>
    </xf>
    <xf numFmtId="167" fontId="16" fillId="0" borderId="0" xfId="0" applyNumberFormat="1" applyFont="1" applyAlignment="1">
      <alignment horizontal="center" vertical="center"/>
    </xf>
    <xf numFmtId="0" fontId="78" fillId="0" borderId="0" xfId="0" applyFont="1" applyAlignment="1">
      <alignment horizontal="center" vertical="center"/>
    </xf>
    <xf numFmtId="0" fontId="18" fillId="0" borderId="20" xfId="0" applyFont="1" applyBorder="1" applyAlignment="1">
      <alignment horizontal="center" vertical="center" wrapText="1"/>
    </xf>
    <xf numFmtId="0" fontId="18" fillId="0" borderId="45" xfId="0" applyFont="1" applyBorder="1" applyAlignment="1">
      <alignment horizontal="center" vertical="center"/>
    </xf>
    <xf numFmtId="0" fontId="18" fillId="0" borderId="27" xfId="0" applyFont="1" applyBorder="1" applyAlignment="1">
      <alignment horizontal="center" vertical="center" wrapText="1"/>
    </xf>
    <xf numFmtId="2" fontId="18" fillId="0" borderId="20" xfId="0" applyNumberFormat="1" applyFont="1" applyBorder="1" applyAlignment="1">
      <alignment horizontal="center" vertical="center" wrapText="1"/>
    </xf>
    <xf numFmtId="4" fontId="18" fillId="0" borderId="20" xfId="0" applyNumberFormat="1" applyFont="1" applyBorder="1" applyAlignment="1">
      <alignment horizontal="center" vertical="center" wrapText="1"/>
    </xf>
    <xf numFmtId="4" fontId="18" fillId="0" borderId="49" xfId="0" applyNumberFormat="1" applyFont="1" applyBorder="1" applyAlignment="1">
      <alignment horizontal="center" vertical="center" wrapText="1"/>
    </xf>
    <xf numFmtId="166" fontId="18" fillId="2" borderId="45" xfId="0" quotePrefix="1" applyNumberFormat="1" applyFont="1" applyFill="1" applyBorder="1" applyAlignment="1">
      <alignment horizontal="center" vertical="center"/>
    </xf>
    <xf numFmtId="0" fontId="18" fillId="2" borderId="20" xfId="0" quotePrefix="1" applyFont="1" applyFill="1" applyBorder="1" applyAlignment="1">
      <alignment horizontal="center" vertical="center"/>
    </xf>
    <xf numFmtId="0" fontId="18" fillId="2" borderId="20" xfId="0" applyFont="1" applyFill="1" applyBorder="1" applyAlignment="1">
      <alignment horizontal="left" vertical="center" wrapText="1"/>
    </xf>
    <xf numFmtId="0" fontId="18" fillId="2" borderId="20" xfId="0" applyFont="1" applyFill="1" applyBorder="1" applyAlignment="1">
      <alignment horizontal="center" vertical="center" wrapText="1"/>
    </xf>
    <xf numFmtId="2" fontId="18" fillId="2" borderId="20" xfId="0" applyNumberFormat="1" applyFont="1" applyFill="1" applyBorder="1" applyAlignment="1">
      <alignment horizontal="center" vertical="center" wrapText="1"/>
    </xf>
    <xf numFmtId="4" fontId="18" fillId="2" borderId="20" xfId="0" applyNumberFormat="1" applyFont="1" applyFill="1" applyBorder="1" applyAlignment="1">
      <alignment horizontal="center" vertical="center" wrapText="1"/>
    </xf>
    <xf numFmtId="4" fontId="18" fillId="2" borderId="49" xfId="0" applyNumberFormat="1" applyFont="1" applyFill="1" applyBorder="1" applyAlignment="1">
      <alignment horizontal="center" vertical="center" wrapText="1"/>
    </xf>
    <xf numFmtId="4" fontId="18" fillId="0" borderId="41" xfId="0" applyNumberFormat="1" applyFont="1" applyBorder="1" applyAlignment="1">
      <alignment horizontal="right" vertical="center"/>
    </xf>
    <xf numFmtId="0" fontId="24" fillId="0" borderId="0" xfId="0" applyFont="1" applyFill="1" applyBorder="1"/>
    <xf numFmtId="0" fontId="25" fillId="0" borderId="0" xfId="0" applyFont="1" applyFill="1" applyBorder="1" applyAlignment="1">
      <alignment horizontal="right" vertical="center"/>
    </xf>
    <xf numFmtId="2" fontId="25" fillId="0" borderId="0" xfId="0" applyNumberFormat="1" applyFont="1" applyFill="1" applyBorder="1" applyAlignment="1">
      <alignment horizontal="center" vertical="center"/>
    </xf>
    <xf numFmtId="0" fontId="24" fillId="0" borderId="0" xfId="0" applyFont="1" applyFill="1" applyBorder="1" applyAlignment="1">
      <alignment horizontal="center"/>
    </xf>
    <xf numFmtId="179" fontId="10" fillId="0" borderId="6" xfId="0" applyNumberFormat="1" applyFont="1" applyBorder="1" applyAlignment="1">
      <alignment horizontal="center" vertical="center"/>
    </xf>
    <xf numFmtId="14" fontId="10" fillId="0" borderId="28" xfId="0" applyNumberFormat="1" applyFont="1" applyBorder="1" applyAlignment="1">
      <alignment horizontal="center" vertical="center"/>
    </xf>
    <xf numFmtId="4" fontId="71" fillId="0" borderId="0" xfId="0" applyNumberFormat="1" applyFont="1" applyFill="1" applyBorder="1" applyAlignment="1">
      <alignment horizontal="left" vertical="center"/>
    </xf>
    <xf numFmtId="167" fontId="18" fillId="5" borderId="20" xfId="0" applyNumberFormat="1" applyFont="1" applyFill="1" applyBorder="1" applyAlignment="1">
      <alignment horizontal="center" vertical="center"/>
    </xf>
    <xf numFmtId="0" fontId="16" fillId="0" borderId="24" xfId="0" applyFont="1" applyFill="1" applyBorder="1" applyAlignment="1">
      <alignment vertical="center"/>
    </xf>
    <xf numFmtId="0" fontId="22" fillId="0" borderId="6" xfId="0" applyFont="1" applyFill="1" applyBorder="1" applyAlignment="1">
      <alignment horizontal="justify" vertical="center" wrapText="1"/>
    </xf>
    <xf numFmtId="0" fontId="22" fillId="0" borderId="6" xfId="0" applyFont="1" applyFill="1" applyBorder="1" applyAlignment="1">
      <alignment horizontal="center" vertical="center" wrapText="1"/>
    </xf>
    <xf numFmtId="171" fontId="22" fillId="0" borderId="6"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167" fontId="22" fillId="0" borderId="16" xfId="0" applyNumberFormat="1" applyFont="1" applyFill="1" applyBorder="1" applyAlignment="1">
      <alignment horizontal="center" vertical="center" wrapText="1"/>
    </xf>
    <xf numFmtId="2" fontId="10" fillId="0" borderId="6" xfId="0" applyNumberFormat="1" applyFont="1" applyFill="1" applyBorder="1" applyAlignment="1">
      <alignment horizontal="center" vertical="center"/>
    </xf>
    <xf numFmtId="167" fontId="24" fillId="0" borderId="16" xfId="0" applyNumberFormat="1" applyFont="1" applyFill="1" applyBorder="1" applyAlignment="1">
      <alignment horizontal="center" vertical="center" wrapText="1"/>
    </xf>
    <xf numFmtId="0" fontId="16" fillId="0" borderId="6" xfId="0" applyFont="1" applyFill="1" applyBorder="1" applyAlignment="1">
      <alignment horizontal="justify" vertical="center" wrapText="1"/>
    </xf>
    <xf numFmtId="171" fontId="16" fillId="0" borderId="6" xfId="0" applyNumberFormat="1" applyFont="1" applyFill="1" applyBorder="1" applyAlignment="1">
      <alignment horizontal="center" vertical="center" wrapText="1"/>
    </xf>
    <xf numFmtId="4" fontId="18" fillId="0" borderId="6" xfId="0" applyNumberFormat="1" applyFont="1" applyFill="1" applyBorder="1" applyAlignment="1">
      <alignment horizontal="right" vertical="center"/>
    </xf>
    <xf numFmtId="167" fontId="22" fillId="0" borderId="35" xfId="0" applyNumberFormat="1" applyFont="1" applyFill="1" applyBorder="1" applyAlignment="1">
      <alignment horizontal="center" vertical="center" wrapText="1"/>
    </xf>
    <xf numFmtId="0" fontId="10" fillId="0" borderId="24" xfId="0" quotePrefix="1" applyFont="1" applyFill="1" applyBorder="1" applyAlignment="1">
      <alignment horizontal="center" vertical="center"/>
    </xf>
    <xf numFmtId="0" fontId="10" fillId="0" borderId="6" xfId="0" quotePrefix="1" applyFont="1" applyFill="1" applyBorder="1" applyAlignment="1">
      <alignment horizontal="center" vertical="center"/>
    </xf>
    <xf numFmtId="0" fontId="26" fillId="0" borderId="6" xfId="0" applyFont="1" applyFill="1" applyBorder="1" applyAlignment="1">
      <alignment wrapText="1"/>
    </xf>
    <xf numFmtId="2" fontId="16" fillId="0" borderId="6" xfId="0" applyNumberFormat="1" applyFont="1" applyFill="1" applyBorder="1" applyAlignment="1">
      <alignment horizontal="center" vertical="center"/>
    </xf>
    <xf numFmtId="0" fontId="11" fillId="0" borderId="18" xfId="3" applyFont="1" applyFill="1" applyBorder="1" applyAlignment="1">
      <alignment horizontal="center" vertical="center"/>
    </xf>
    <xf numFmtId="167" fontId="18" fillId="0" borderId="44" xfId="3" applyNumberFormat="1" applyFont="1" applyFill="1" applyBorder="1" applyAlignment="1">
      <alignment horizontal="center" vertical="center" wrapText="1"/>
    </xf>
    <xf numFmtId="0" fontId="0" fillId="0" borderId="55" xfId="0" applyBorder="1" applyAlignment="1">
      <alignment horizontal="center" vertical="center" wrapText="1"/>
    </xf>
    <xf numFmtId="0" fontId="0" fillId="0" borderId="0" xfId="0" applyFill="1" applyAlignment="1">
      <alignment horizontal="center" vertical="center" wrapText="1"/>
    </xf>
    <xf numFmtId="0" fontId="71" fillId="0" borderId="0" xfId="0" applyFont="1" applyAlignment="1">
      <alignment horizontal="left" vertical="center"/>
    </xf>
    <xf numFmtId="0" fontId="79" fillId="0" borderId="0" xfId="0" applyFont="1" applyAlignment="1">
      <alignment horizontal="left" vertical="center"/>
    </xf>
    <xf numFmtId="0" fontId="16"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8" fillId="0" borderId="0" xfId="0" applyNumberFormat="1" applyFont="1" applyBorder="1" applyAlignment="1">
      <alignment horizontal="right" vertical="center"/>
    </xf>
    <xf numFmtId="14" fontId="18" fillId="0" borderId="13" xfId="2" applyNumberFormat="1" applyFont="1" applyBorder="1" applyAlignment="1">
      <alignment horizontal="right" vertical="center"/>
    </xf>
    <xf numFmtId="0" fontId="18" fillId="0" borderId="48" xfId="0" applyFont="1" applyBorder="1" applyAlignment="1">
      <alignment vertical="center" wrapText="1"/>
    </xf>
    <xf numFmtId="4" fontId="7" fillId="0" borderId="46" xfId="0" applyNumberFormat="1" applyFont="1" applyBorder="1" applyAlignment="1">
      <alignment horizontal="right" vertical="center"/>
    </xf>
    <xf numFmtId="168" fontId="7" fillId="0" borderId="47" xfId="0" applyNumberFormat="1" applyFont="1" applyBorder="1" applyAlignment="1">
      <alignment horizontal="right" vertical="center"/>
    </xf>
    <xf numFmtId="4" fontId="18" fillId="0" borderId="6" xfId="0" applyNumberFormat="1" applyFont="1" applyBorder="1" applyAlignment="1">
      <alignment horizontal="right" vertical="center"/>
    </xf>
    <xf numFmtId="168" fontId="18" fillId="0" borderId="13" xfId="0" applyNumberFormat="1" applyFont="1" applyBorder="1" applyAlignment="1">
      <alignment horizontal="right" vertical="center"/>
    </xf>
    <xf numFmtId="0" fontId="18" fillId="0" borderId="26" xfId="0" applyFont="1" applyBorder="1" applyAlignment="1">
      <alignment horizontal="left" vertical="center"/>
    </xf>
    <xf numFmtId="0" fontId="18" fillId="0" borderId="34" xfId="0" applyFont="1" applyBorder="1" applyAlignment="1">
      <alignment horizontal="center" vertical="center" wrapText="1"/>
    </xf>
    <xf numFmtId="0" fontId="18" fillId="0" borderId="28" xfId="0" applyFont="1" applyBorder="1" applyAlignment="1">
      <alignment vertical="center" wrapText="1"/>
    </xf>
    <xf numFmtId="0" fontId="18" fillId="0" borderId="24" xfId="0" applyFont="1" applyBorder="1" applyAlignment="1">
      <alignment vertical="center" wrapText="1"/>
    </xf>
    <xf numFmtId="0" fontId="11" fillId="0" borderId="73" xfId="0" applyFont="1" applyBorder="1" applyAlignment="1">
      <alignment vertical="center" wrapText="1"/>
    </xf>
    <xf numFmtId="0" fontId="7" fillId="0" borderId="31" xfId="0" applyFont="1" applyBorder="1" applyAlignment="1">
      <alignment horizontal="center" vertical="center" wrapText="1"/>
    </xf>
    <xf numFmtId="4" fontId="7" fillId="0" borderId="8" xfId="1" applyNumberFormat="1" applyFont="1" applyBorder="1" applyAlignment="1">
      <alignment horizontal="center" vertical="center" wrapText="1"/>
    </xf>
    <xf numFmtId="4" fontId="7" fillId="0" borderId="15" xfId="1" applyNumberFormat="1" applyFont="1" applyBorder="1" applyAlignment="1">
      <alignment horizontal="center" vertical="center" wrapText="1"/>
    </xf>
    <xf numFmtId="166" fontId="18" fillId="0" borderId="32" xfId="0" applyNumberFormat="1" applyFont="1" applyFill="1" applyBorder="1" applyAlignment="1">
      <alignment horizontal="center" vertical="center"/>
    </xf>
    <xf numFmtId="4" fontId="7" fillId="0" borderId="1" xfId="0" applyNumberFormat="1" applyFont="1" applyFill="1" applyBorder="1" applyAlignment="1">
      <alignment horizontal="right" vertical="center"/>
    </xf>
    <xf numFmtId="2" fontId="71"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4" fillId="0" borderId="0" xfId="0" applyNumberFormat="1" applyFont="1" applyFill="1" applyBorder="1" applyAlignment="1">
      <alignment horizontal="left" vertical="center"/>
    </xf>
    <xf numFmtId="0" fontId="67" fillId="39" borderId="49" xfId="0" applyFont="1" applyFill="1" applyBorder="1" applyAlignment="1">
      <alignment horizontal="center" vertical="center"/>
    </xf>
    <xf numFmtId="2" fontId="71" fillId="0" borderId="81" xfId="0" applyNumberFormat="1" applyFont="1" applyFill="1" applyBorder="1" applyAlignment="1">
      <alignment horizontal="center" vertical="center"/>
    </xf>
    <xf numFmtId="0" fontId="67" fillId="0" borderId="85" xfId="0" applyFont="1" applyBorder="1" applyAlignment="1">
      <alignment horizontal="center" vertical="center"/>
    </xf>
    <xf numFmtId="0" fontId="0" fillId="0" borderId="24" xfId="0" applyBorder="1" applyAlignment="1">
      <alignment horizontal="left" vertical="center" wrapText="1"/>
    </xf>
    <xf numFmtId="0" fontId="67" fillId="0" borderId="86" xfId="0" applyFont="1" applyBorder="1" applyAlignment="1">
      <alignment horizontal="center" vertical="center"/>
    </xf>
    <xf numFmtId="2" fontId="71" fillId="0" borderId="40" xfId="0" applyNumberFormat="1" applyFont="1" applyFill="1" applyBorder="1" applyAlignment="1">
      <alignment horizontal="center" vertical="center"/>
    </xf>
    <xf numFmtId="0" fontId="67" fillId="0" borderId="87" xfId="0" applyFont="1" applyBorder="1" applyAlignment="1">
      <alignment horizontal="center" vertical="center"/>
    </xf>
    <xf numFmtId="0" fontId="67" fillId="39" borderId="74" xfId="0" applyFont="1" applyFill="1" applyBorder="1" applyAlignment="1">
      <alignment horizontal="center" vertical="center"/>
    </xf>
    <xf numFmtId="0" fontId="0" fillId="0" borderId="24" xfId="0" applyBorder="1" applyAlignment="1">
      <alignment horizontal="left" vertical="center"/>
    </xf>
    <xf numFmtId="0" fontId="67" fillId="0" borderId="88" xfId="0" applyFont="1" applyBorder="1" applyAlignment="1">
      <alignment horizontal="center" vertical="center"/>
    </xf>
    <xf numFmtId="0" fontId="0" fillId="0" borderId="23" xfId="0" applyBorder="1" applyAlignment="1">
      <alignment horizontal="left" vertical="center"/>
    </xf>
    <xf numFmtId="0" fontId="67" fillId="39" borderId="41" xfId="0" applyFont="1" applyFill="1" applyBorder="1" applyAlignment="1">
      <alignment horizontal="center" vertical="center"/>
    </xf>
    <xf numFmtId="2" fontId="71" fillId="0" borderId="41" xfId="0" applyNumberFormat="1" applyFont="1" applyFill="1" applyBorder="1" applyAlignment="1">
      <alignment horizontal="center" vertical="center"/>
    </xf>
    <xf numFmtId="2" fontId="71" fillId="0" borderId="16" xfId="0" applyNumberFormat="1" applyFont="1" applyFill="1" applyBorder="1" applyAlignment="1">
      <alignment horizontal="center" vertical="center"/>
    </xf>
    <xf numFmtId="0" fontId="67" fillId="39" borderId="75" xfId="0" applyFont="1" applyFill="1" applyBorder="1" applyAlignment="1">
      <alignment horizontal="center" vertical="center"/>
    </xf>
    <xf numFmtId="2" fontId="11" fillId="3" borderId="6" xfId="0" applyNumberFormat="1" applyFont="1" applyFill="1" applyBorder="1" applyAlignment="1">
      <alignment horizontal="right" vertical="center" wrapText="1"/>
    </xf>
    <xf numFmtId="0" fontId="27" fillId="0" borderId="0" xfId="0" applyFont="1" applyBorder="1" applyAlignment="1">
      <alignment horizontal="center" vertical="center"/>
    </xf>
    <xf numFmtId="0" fontId="84" fillId="0" borderId="6" xfId="0" applyFont="1" applyBorder="1" applyAlignment="1">
      <alignment horizontal="left" vertical="center" wrapText="1"/>
    </xf>
    <xf numFmtId="0" fontId="85" fillId="0" borderId="6" xfId="0" applyFont="1" applyBorder="1"/>
    <xf numFmtId="0" fontId="76" fillId="5" borderId="22" xfId="0" applyFont="1" applyFill="1" applyBorder="1" applyAlignment="1">
      <alignment horizontal="left" vertical="center" wrapText="1"/>
    </xf>
    <xf numFmtId="171" fontId="10" fillId="0" borderId="6" xfId="0" applyNumberFormat="1" applyFont="1" applyFill="1" applyBorder="1" applyAlignment="1">
      <alignment horizontal="center" vertical="center"/>
    </xf>
    <xf numFmtId="0" fontId="84" fillId="0" borderId="6" xfId="0" applyFont="1" applyBorder="1" applyAlignment="1">
      <alignment horizontal="left" vertical="center"/>
    </xf>
    <xf numFmtId="0" fontId="85" fillId="0" borderId="0" xfId="0" applyFont="1" applyBorder="1"/>
    <xf numFmtId="0" fontId="22" fillId="0" borderId="6" xfId="0" applyFont="1" applyBorder="1" applyAlignment="1">
      <alignment horizontal="left" vertical="center"/>
    </xf>
    <xf numFmtId="0" fontId="10" fillId="0" borderId="6" xfId="0" applyFont="1" applyBorder="1"/>
    <xf numFmtId="172" fontId="24" fillId="0" borderId="16" xfId="0" applyNumberFormat="1" applyFont="1" applyFill="1" applyBorder="1" applyAlignment="1">
      <alignment horizontal="center" vertical="center" wrapText="1"/>
    </xf>
    <xf numFmtId="171" fontId="24" fillId="0" borderId="16" xfId="0" applyNumberFormat="1" applyFont="1" applyFill="1" applyBorder="1" applyAlignment="1">
      <alignment horizontal="center" vertical="center" wrapText="1"/>
    </xf>
    <xf numFmtId="0" fontId="77" fillId="0" borderId="0" xfId="0" applyFont="1"/>
    <xf numFmtId="0" fontId="77" fillId="0" borderId="6" xfId="0" applyFont="1" applyBorder="1"/>
    <xf numFmtId="0" fontId="77" fillId="0" borderId="6" xfId="0" applyFont="1" applyBorder="1" applyAlignment="1">
      <alignment horizontal="left" vertical="center" wrapText="1"/>
    </xf>
    <xf numFmtId="2" fontId="62" fillId="0" borderId="0" xfId="0" applyNumberFormat="1" applyFont="1" applyFill="1" applyBorder="1" applyAlignment="1">
      <alignment horizontal="right" vertical="center"/>
    </xf>
    <xf numFmtId="2" fontId="69" fillId="0" borderId="0" xfId="0" applyNumberFormat="1" applyFont="1" applyFill="1" applyBorder="1" applyAlignment="1">
      <alignment horizontal="left" vertical="center"/>
    </xf>
    <xf numFmtId="14" fontId="71" fillId="0" borderId="28" xfId="0" applyNumberFormat="1" applyFont="1" applyBorder="1" applyAlignment="1">
      <alignment horizontal="center" vertical="center"/>
    </xf>
    <xf numFmtId="0" fontId="0" fillId="0" borderId="0" xfId="0" applyBorder="1" applyAlignment="1">
      <alignment horizontal="left" vertical="center"/>
    </xf>
    <xf numFmtId="0" fontId="16" fillId="0" borderId="0" xfId="0" applyFont="1" applyBorder="1" applyAlignment="1">
      <alignment horizontal="center" vertical="center"/>
    </xf>
    <xf numFmtId="0" fontId="11" fillId="0" borderId="18" xfId="0" quotePrefix="1" applyFont="1" applyBorder="1" applyAlignment="1">
      <alignment horizontal="center" vertical="center"/>
    </xf>
    <xf numFmtId="0" fontId="11" fillId="0" borderId="59" xfId="0" quotePrefix="1" applyFont="1" applyBorder="1" applyAlignment="1">
      <alignment horizontal="left" vertical="center" wrapText="1"/>
    </xf>
    <xf numFmtId="0" fontId="18" fillId="32" borderId="24" xfId="0" applyFont="1" applyFill="1" applyBorder="1" applyAlignment="1">
      <alignment horizontal="center" vertical="center"/>
    </xf>
    <xf numFmtId="4" fontId="11" fillId="32" borderId="6" xfId="0" applyNumberFormat="1" applyFont="1" applyFill="1" applyBorder="1" applyAlignment="1">
      <alignment horizontal="right" vertical="center"/>
    </xf>
    <xf numFmtId="0" fontId="9" fillId="0" borderId="59" xfId="0" quotePrefix="1" applyFont="1" applyFill="1" applyBorder="1" applyAlignment="1">
      <alignment horizontal="center" vertical="center" wrapText="1"/>
    </xf>
    <xf numFmtId="0" fontId="18" fillId="33" borderId="6" xfId="0" applyFont="1" applyFill="1" applyBorder="1" applyAlignment="1">
      <alignment vertical="center" wrapText="1"/>
    </xf>
    <xf numFmtId="0" fontId="11" fillId="0" borderId="61" xfId="0" quotePrefix="1" applyFont="1" applyBorder="1" applyAlignment="1">
      <alignment horizontal="left" vertical="center"/>
    </xf>
    <xf numFmtId="0" fontId="18" fillId="33" borderId="16" xfId="0" applyFont="1" applyFill="1" applyBorder="1" applyAlignment="1">
      <alignment vertical="center" wrapText="1"/>
    </xf>
    <xf numFmtId="166" fontId="7" fillId="2" borderId="21" xfId="0" quotePrefix="1" applyNumberFormat="1" applyFont="1" applyFill="1" applyBorder="1" applyAlignment="1">
      <alignment horizontal="center" vertical="center"/>
    </xf>
    <xf numFmtId="0" fontId="30" fillId="2" borderId="22" xfId="0" applyNumberFormat="1" applyFont="1" applyFill="1" applyBorder="1" applyAlignment="1">
      <alignment horizontal="center" vertical="center" wrapText="1"/>
    </xf>
    <xf numFmtId="4" fontId="7" fillId="2" borderId="41" xfId="0" applyNumberFormat="1" applyFont="1" applyFill="1" applyBorder="1" applyAlignment="1">
      <alignment horizontal="center" vertical="center" wrapText="1"/>
    </xf>
    <xf numFmtId="0" fontId="84" fillId="0" borderId="0" xfId="0" applyFont="1" applyBorder="1" applyAlignment="1">
      <alignment horizontal="left" vertical="center" wrapText="1"/>
    </xf>
    <xf numFmtId="2" fontId="10" fillId="0" borderId="0" xfId="0" applyNumberFormat="1" applyFont="1" applyFill="1" applyBorder="1" applyAlignment="1">
      <alignment horizontal="left" vertical="center"/>
    </xf>
    <xf numFmtId="0" fontId="24" fillId="0" borderId="0" xfId="0" applyFont="1" applyBorder="1" applyAlignment="1">
      <alignment horizontal="left" vertical="center"/>
    </xf>
    <xf numFmtId="166" fontId="11" fillId="0" borderId="24" xfId="0" quotePrefix="1" applyNumberFormat="1" applyFont="1" applyFill="1" applyBorder="1" applyAlignment="1">
      <alignment horizontal="center" vertical="center"/>
    </xf>
    <xf numFmtId="166" fontId="11" fillId="0" borderId="23" xfId="0" quotePrefix="1" applyNumberFormat="1" applyFont="1" applyFill="1" applyBorder="1" applyAlignment="1">
      <alignment horizontal="center" vertical="center"/>
    </xf>
    <xf numFmtId="0" fontId="11" fillId="0" borderId="14" xfId="0" quotePrefix="1" applyFont="1" applyFill="1" applyBorder="1" applyAlignment="1">
      <alignment horizontal="center" vertical="center"/>
    </xf>
    <xf numFmtId="0" fontId="11" fillId="0" borderId="14" xfId="0" applyFont="1" applyFill="1" applyBorder="1" applyAlignment="1">
      <alignment horizontal="left" vertical="center" wrapText="1"/>
    </xf>
    <xf numFmtId="0" fontId="11" fillId="0" borderId="14" xfId="0" applyFont="1" applyFill="1" applyBorder="1" applyAlignment="1">
      <alignment horizontal="center" vertical="center" wrapText="1"/>
    </xf>
    <xf numFmtId="0" fontId="68" fillId="0" borderId="0" xfId="0" applyFont="1" applyBorder="1" applyAlignment="1">
      <alignment horizontal="justify" vertical="center" wrapText="1"/>
    </xf>
    <xf numFmtId="0" fontId="11" fillId="6" borderId="9" xfId="0" quotePrefix="1" applyFont="1" applyFill="1" applyBorder="1" applyAlignment="1">
      <alignment horizontal="center" vertical="center" wrapText="1"/>
    </xf>
    <xf numFmtId="2" fontId="62" fillId="0" borderId="0" xfId="0" applyNumberFormat="1" applyFont="1" applyFill="1" applyBorder="1" applyAlignment="1">
      <alignment horizontal="left" vertical="center"/>
    </xf>
    <xf numFmtId="0" fontId="68" fillId="5" borderId="22" xfId="0" applyFont="1" applyFill="1" applyBorder="1" applyAlignment="1">
      <alignment horizontal="center" vertical="center"/>
    </xf>
    <xf numFmtId="167" fontId="19" fillId="2" borderId="34" xfId="0" applyNumberFormat="1" applyFont="1" applyFill="1" applyBorder="1" applyAlignment="1">
      <alignment vertical="center"/>
    </xf>
    <xf numFmtId="167" fontId="19" fillId="2" borderId="20" xfId="0" applyNumberFormat="1" applyFont="1" applyFill="1" applyBorder="1" applyAlignment="1">
      <alignment vertical="center"/>
    </xf>
    <xf numFmtId="167" fontId="19" fillId="2" borderId="49" xfId="0" applyNumberFormat="1" applyFont="1" applyFill="1" applyBorder="1" applyAlignment="1">
      <alignment horizontal="center" vertical="center"/>
    </xf>
    <xf numFmtId="0" fontId="68" fillId="4" borderId="31" xfId="0" applyFont="1" applyFill="1" applyBorder="1" applyAlignment="1">
      <alignment vertical="center"/>
    </xf>
    <xf numFmtId="0" fontId="68" fillId="0" borderId="8" xfId="0" applyFont="1" applyBorder="1" applyAlignment="1">
      <alignment horizontal="center" vertical="center" wrapText="1"/>
    </xf>
    <xf numFmtId="171" fontId="68" fillId="0" borderId="8" xfId="0" applyNumberFormat="1" applyFont="1" applyBorder="1" applyAlignment="1">
      <alignment horizontal="center" vertical="center" wrapText="1"/>
    </xf>
    <xf numFmtId="167" fontId="68" fillId="0" borderId="8" xfId="0" applyNumberFormat="1" applyFont="1" applyBorder="1" applyAlignment="1">
      <alignment horizontal="center" vertical="center" wrapText="1"/>
    </xf>
    <xf numFmtId="167" fontId="68" fillId="0" borderId="15" xfId="0" applyNumberFormat="1" applyFont="1" applyBorder="1" applyAlignment="1">
      <alignment horizontal="center" vertical="center" wrapText="1"/>
    </xf>
    <xf numFmtId="0" fontId="60" fillId="0" borderId="0" xfId="0" applyFont="1" applyBorder="1" applyAlignment="1">
      <alignment horizontal="center"/>
    </xf>
    <xf numFmtId="0" fontId="10" fillId="6" borderId="24" xfId="55" applyNumberFormat="1" applyFont="1" applyFill="1" applyBorder="1" applyAlignment="1">
      <alignment horizontal="center" vertical="center" wrapText="1"/>
    </xf>
    <xf numFmtId="0" fontId="10" fillId="0" borderId="0" xfId="0" quotePrefix="1" applyFont="1" applyBorder="1" applyAlignment="1">
      <alignment horizontal="center" vertical="center"/>
    </xf>
    <xf numFmtId="0" fontId="77" fillId="0" borderId="6" xfId="0" applyFont="1" applyBorder="1" applyAlignment="1">
      <alignment horizontal="left" vertical="center"/>
    </xf>
    <xf numFmtId="167" fontId="0" fillId="0" borderId="0" xfId="0" applyNumberFormat="1"/>
    <xf numFmtId="2" fontId="0" fillId="0" borderId="0" xfId="0" applyNumberFormat="1" applyFont="1" applyFill="1" applyBorder="1"/>
    <xf numFmtId="2" fontId="11" fillId="0" borderId="0" xfId="0" applyNumberFormat="1" applyFont="1" applyAlignment="1">
      <alignment horizontal="left" vertical="center"/>
    </xf>
    <xf numFmtId="166" fontId="18" fillId="2" borderId="26" xfId="0" quotePrefix="1" applyNumberFormat="1" applyFont="1" applyFill="1" applyBorder="1" applyAlignment="1">
      <alignment horizontal="center" vertical="center"/>
    </xf>
    <xf numFmtId="0" fontId="18" fillId="32" borderId="25" xfId="0" applyFont="1" applyFill="1" applyBorder="1" applyAlignment="1">
      <alignment horizontal="center" vertical="center"/>
    </xf>
    <xf numFmtId="0" fontId="9" fillId="0" borderId="6" xfId="0" quotePrefix="1" applyFont="1" applyFill="1" applyBorder="1" applyAlignment="1">
      <alignment horizontal="center" vertical="center" wrapText="1"/>
    </xf>
    <xf numFmtId="0" fontId="9" fillId="0" borderId="8" xfId="0" quotePrefix="1" applyFont="1" applyFill="1" applyBorder="1" applyAlignment="1">
      <alignment horizontal="center" vertical="center" wrapText="1"/>
    </xf>
    <xf numFmtId="0" fontId="64" fillId="2" borderId="22" xfId="0" quotePrefix="1" applyFont="1" applyFill="1" applyBorder="1" applyAlignment="1">
      <alignment horizontal="center" vertical="center"/>
    </xf>
    <xf numFmtId="0" fontId="16" fillId="0" borderId="0" xfId="0" applyFont="1" applyAlignment="1">
      <alignment horizontal="left" vertical="center"/>
    </xf>
    <xf numFmtId="0" fontId="11" fillId="0" borderId="6" xfId="0" quotePrefix="1" applyFont="1" applyBorder="1" applyAlignment="1">
      <alignment horizontal="left" vertical="center"/>
    </xf>
    <xf numFmtId="0" fontId="25" fillId="0" borderId="0" xfId="0" applyFont="1" applyBorder="1" applyAlignment="1">
      <alignment horizontal="right" vertical="center"/>
    </xf>
    <xf numFmtId="0" fontId="10" fillId="0" borderId="0" xfId="0" applyFont="1" applyAlignment="1">
      <alignment horizontal="left" vertical="center" wrapText="1"/>
    </xf>
    <xf numFmtId="0" fontId="86" fillId="0" borderId="0" xfId="0" applyFont="1"/>
    <xf numFmtId="0" fontId="36" fillId="0" borderId="0" xfId="0" applyFont="1" applyAlignment="1">
      <alignment horizontal="left" vertical="center" wrapText="1"/>
    </xf>
    <xf numFmtId="0" fontId="11" fillId="0" borderId="0" xfId="0" applyFont="1" applyBorder="1" applyAlignment="1">
      <alignment horizontal="left" vertical="center" wrapText="1"/>
    </xf>
    <xf numFmtId="0" fontId="25" fillId="0" borderId="0" xfId="0" applyFont="1" applyBorder="1" applyAlignment="1">
      <alignment horizontal="right" vertical="center"/>
    </xf>
    <xf numFmtId="2" fontId="25" fillId="0" borderId="0" xfId="0" applyNumberFormat="1" applyFont="1" applyBorder="1" applyAlignment="1">
      <alignment horizontal="center" vertical="center"/>
    </xf>
    <xf numFmtId="0" fontId="24" fillId="0" borderId="12" xfId="0" applyFont="1" applyBorder="1"/>
    <xf numFmtId="0" fontId="25" fillId="0" borderId="0" xfId="0" applyFont="1" applyBorder="1" applyAlignment="1">
      <alignment horizontal="right" vertical="center"/>
    </xf>
    <xf numFmtId="2" fontId="10" fillId="0" borderId="0" xfId="0" applyNumberFormat="1" applyFont="1" applyAlignment="1">
      <alignment horizontal="left" vertical="center"/>
    </xf>
    <xf numFmtId="2" fontId="24" fillId="0" borderId="0" xfId="0" applyNumberFormat="1" applyFont="1" applyFill="1" applyBorder="1"/>
    <xf numFmtId="2" fontId="29" fillId="0" borderId="0" xfId="0" applyNumberFormat="1" applyFont="1" applyAlignment="1">
      <alignment horizontal="left" vertical="center"/>
    </xf>
    <xf numFmtId="4" fontId="18" fillId="0" borderId="0" xfId="0" applyNumberFormat="1" applyFont="1" applyFill="1" applyBorder="1" applyAlignment="1">
      <alignment horizontal="right" vertical="center"/>
    </xf>
    <xf numFmtId="0" fontId="10" fillId="6" borderId="6" xfId="0" applyFont="1" applyFill="1" applyBorder="1" applyAlignment="1">
      <alignment horizontal="center" vertical="center" wrapText="1"/>
    </xf>
    <xf numFmtId="0" fontId="10" fillId="0" borderId="6" xfId="0" applyFont="1" applyBorder="1" applyAlignment="1">
      <alignment horizontal="left" vertical="center"/>
    </xf>
    <xf numFmtId="0" fontId="10" fillId="0" borderId="54" xfId="0" applyFont="1" applyFill="1" applyBorder="1" applyAlignment="1">
      <alignment vertical="center" wrapText="1"/>
    </xf>
    <xf numFmtId="0" fontId="10" fillId="0" borderId="43" xfId="0" applyFont="1" applyFill="1" applyBorder="1" applyAlignment="1">
      <alignment vertical="center" wrapText="1"/>
    </xf>
    <xf numFmtId="0" fontId="10" fillId="0" borderId="55" xfId="0" applyFont="1" applyFill="1" applyBorder="1" applyAlignment="1">
      <alignment vertical="center" wrapText="1"/>
    </xf>
    <xf numFmtId="167" fontId="18" fillId="2" borderId="22" xfId="0" applyNumberFormat="1" applyFont="1" applyFill="1" applyBorder="1" applyAlignment="1">
      <alignment horizontal="center" vertical="center"/>
    </xf>
    <xf numFmtId="0" fontId="18" fillId="5" borderId="22" xfId="3" applyFont="1" applyFill="1" applyBorder="1" applyAlignment="1">
      <alignment vertical="center"/>
    </xf>
    <xf numFmtId="0" fontId="18" fillId="5" borderId="22" xfId="3" applyFont="1" applyFill="1" applyBorder="1" applyAlignment="1">
      <alignment horizontal="right" vertical="center"/>
    </xf>
    <xf numFmtId="2" fontId="18" fillId="5" borderId="41" xfId="3" applyNumberFormat="1" applyFont="1" applyFill="1" applyBorder="1" applyAlignment="1">
      <alignment vertical="center"/>
    </xf>
    <xf numFmtId="0" fontId="11" fillId="0" borderId="6" xfId="5" applyFont="1" applyBorder="1" applyAlignment="1">
      <alignment horizontal="left" vertical="center" wrapText="1"/>
    </xf>
    <xf numFmtId="0" fontId="24" fillId="0" borderId="6" xfId="0" applyFont="1" applyBorder="1"/>
    <xf numFmtId="0" fontId="16" fillId="0" borderId="0" xfId="0" applyFont="1" applyBorder="1" applyAlignment="1">
      <alignment horizontal="center" vertical="center"/>
    </xf>
    <xf numFmtId="4" fontId="11" fillId="0" borderId="0" xfId="0" applyNumberFormat="1" applyFont="1" applyFill="1" applyBorder="1" applyAlignment="1">
      <alignment vertical="center"/>
    </xf>
    <xf numFmtId="0" fontId="35" fillId="0" borderId="0" xfId="0" applyFont="1" applyAlignment="1">
      <alignment horizontal="center" vertical="center"/>
    </xf>
    <xf numFmtId="0" fontId="11" fillId="0" borderId="8" xfId="0" applyFont="1" applyBorder="1" applyAlignment="1">
      <alignment horizontal="center" vertical="center"/>
    </xf>
    <xf numFmtId="0" fontId="11" fillId="0" borderId="8" xfId="0" applyFont="1" applyBorder="1" applyAlignment="1">
      <alignment horizontal="left" vertical="center" wrapText="1"/>
    </xf>
    <xf numFmtId="2" fontId="16" fillId="0" borderId="0" xfId="0" applyNumberFormat="1" applyFont="1" applyFill="1" applyBorder="1" applyAlignment="1">
      <alignment horizontal="left" vertical="center" wrapText="1"/>
    </xf>
    <xf numFmtId="2" fontId="11" fillId="0" borderId="0" xfId="0" applyNumberFormat="1" applyFont="1" applyFill="1" applyBorder="1" applyAlignment="1">
      <alignment horizontal="left" vertical="center" wrapText="1"/>
    </xf>
    <xf numFmtId="2" fontId="24" fillId="0" borderId="0" xfId="0" applyNumberFormat="1" applyFont="1" applyFill="1" applyBorder="1" applyAlignment="1">
      <alignment horizontal="left" vertical="center" wrapText="1"/>
    </xf>
    <xf numFmtId="0" fontId="0" fillId="0" borderId="0" xfId="0" applyAlignment="1">
      <alignment horizontal="left" vertical="center"/>
    </xf>
    <xf numFmtId="0" fontId="11" fillId="0" borderId="6" xfId="0" applyNumberFormat="1" applyFont="1" applyFill="1" applyBorder="1" applyAlignment="1">
      <alignment horizontal="left" vertical="center" wrapText="1"/>
    </xf>
    <xf numFmtId="0" fontId="23" fillId="5" borderId="22" xfId="0" applyNumberFormat="1" applyFont="1" applyFill="1" applyBorder="1" applyAlignment="1">
      <alignment horizontal="left" vertical="center" wrapText="1"/>
    </xf>
    <xf numFmtId="0" fontId="10" fillId="0" borderId="6" xfId="0" applyNumberFormat="1" applyFont="1" applyFill="1" applyBorder="1" applyAlignment="1">
      <alignment horizontal="left" vertical="center" wrapText="1"/>
    </xf>
    <xf numFmtId="0" fontId="11" fillId="0" borderId="10" xfId="0" applyNumberFormat="1" applyFont="1" applyBorder="1" applyAlignment="1">
      <alignment horizontal="center" vertical="center"/>
    </xf>
    <xf numFmtId="0" fontId="18" fillId="0" borderId="0" xfId="0"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0" fontId="32" fillId="0" borderId="24" xfId="5" applyFont="1" applyBorder="1" applyAlignment="1">
      <alignment horizontal="center" vertical="center" wrapText="1"/>
    </xf>
    <xf numFmtId="2" fontId="16" fillId="0" borderId="0" xfId="0" applyNumberFormat="1" applyFont="1" applyFill="1" applyBorder="1"/>
    <xf numFmtId="2" fontId="11" fillId="0" borderId="0" xfId="0" applyNumberFormat="1" applyFont="1" applyFill="1" applyBorder="1" applyAlignment="1">
      <alignment horizontal="left" vertical="center"/>
    </xf>
    <xf numFmtId="0" fontId="11" fillId="0" borderId="0" xfId="0" applyFont="1" applyBorder="1" applyAlignment="1">
      <alignment vertical="center" wrapText="1"/>
    </xf>
    <xf numFmtId="0" fontId="22" fillId="0" borderId="0" xfId="0" applyFont="1" applyAlignment="1">
      <alignment horizontal="left" vertical="center"/>
    </xf>
    <xf numFmtId="0" fontId="86" fillId="0" borderId="0" xfId="0" applyFont="1" applyBorder="1" applyAlignment="1">
      <alignment vertical="center"/>
    </xf>
    <xf numFmtId="0" fontId="86" fillId="0" borderId="0" xfId="0" applyFont="1" applyAlignment="1">
      <alignment horizontal="left" vertical="center"/>
    </xf>
    <xf numFmtId="0" fontId="85" fillId="0" borderId="89" xfId="0" applyFont="1" applyFill="1" applyBorder="1" applyAlignment="1">
      <alignment horizontal="left" vertical="top" wrapText="1"/>
    </xf>
    <xf numFmtId="0" fontId="23" fillId="0" borderId="0" xfId="0" applyFont="1" applyFill="1" applyBorder="1" applyAlignment="1">
      <alignment horizontal="center" vertical="center"/>
    </xf>
    <xf numFmtId="0" fontId="24" fillId="0" borderId="0" xfId="0" applyFont="1" applyFill="1" applyAlignment="1">
      <alignment horizontal="center" vertical="center" wrapText="1"/>
    </xf>
    <xf numFmtId="0" fontId="11" fillId="0" borderId="7" xfId="0" quotePrefix="1" applyFont="1" applyBorder="1" applyAlignment="1">
      <alignment horizontal="center" vertical="center"/>
    </xf>
    <xf numFmtId="0" fontId="11" fillId="0" borderId="0" xfId="0" applyFont="1" applyBorder="1" applyAlignment="1">
      <alignment vertical="center" wrapText="1"/>
    </xf>
    <xf numFmtId="0" fontId="11" fillId="0" borderId="6" xfId="0" applyFont="1" applyBorder="1" applyAlignment="1">
      <alignment vertical="center" wrapText="1"/>
    </xf>
    <xf numFmtId="0" fontId="25" fillId="0" borderId="0" xfId="0" applyFont="1" applyBorder="1" applyAlignment="1">
      <alignment horizontal="right" vertical="center"/>
    </xf>
    <xf numFmtId="0" fontId="27" fillId="0" borderId="0" xfId="0" applyFont="1" applyAlignment="1">
      <alignment horizontal="left" vertical="center"/>
    </xf>
    <xf numFmtId="0" fontId="16" fillId="0" borderId="10" xfId="0" applyFont="1" applyBorder="1" applyAlignment="1">
      <alignment horizontal="center" vertical="center" wrapText="1"/>
    </xf>
    <xf numFmtId="0" fontId="24" fillId="0" borderId="8" xfId="0" applyFont="1" applyBorder="1" applyAlignment="1">
      <alignment horizontal="left" vertical="center" wrapText="1"/>
    </xf>
    <xf numFmtId="0" fontId="77" fillId="0" borderId="6" xfId="0" applyFont="1" applyFill="1" applyBorder="1" applyAlignment="1">
      <alignment horizontal="left" vertical="center" wrapText="1"/>
    </xf>
    <xf numFmtId="0" fontId="10" fillId="0" borderId="25" xfId="0" applyFont="1" applyBorder="1" applyAlignment="1">
      <alignment horizontal="center" vertical="center" wrapText="1"/>
    </xf>
    <xf numFmtId="2" fontId="0" fillId="0" borderId="0" xfId="0" applyNumberFormat="1" applyFill="1" applyBorder="1" applyAlignment="1">
      <alignment wrapText="1"/>
    </xf>
    <xf numFmtId="2" fontId="24" fillId="0" borderId="0" xfId="0" applyNumberFormat="1" applyFont="1" applyFill="1" applyBorder="1" applyAlignment="1">
      <alignment wrapText="1"/>
    </xf>
    <xf numFmtId="2" fontId="24" fillId="0" borderId="0" xfId="0" applyNumberFormat="1" applyFont="1" applyAlignment="1">
      <alignment horizontal="center" vertical="center" wrapText="1"/>
    </xf>
    <xf numFmtId="0" fontId="11" fillId="2" borderId="18" xfId="0" applyFont="1" applyFill="1" applyBorder="1" applyAlignment="1">
      <alignment horizontal="center" vertical="center"/>
    </xf>
    <xf numFmtId="167" fontId="11" fillId="0" borderId="0" xfId="0" applyNumberFormat="1" applyFont="1" applyBorder="1" applyAlignment="1">
      <alignment vertical="center" wrapText="1"/>
    </xf>
    <xf numFmtId="167" fontId="11" fillId="0" borderId="0" xfId="0" applyNumberFormat="1" applyFont="1" applyBorder="1" applyAlignment="1">
      <alignment vertical="center"/>
    </xf>
    <xf numFmtId="4" fontId="18" fillId="6" borderId="0" xfId="0" applyNumberFormat="1" applyFont="1" applyFill="1" applyBorder="1" applyAlignment="1">
      <alignment horizontal="right" vertical="center"/>
    </xf>
    <xf numFmtId="167" fontId="25" fillId="0" borderId="0" xfId="0" applyNumberFormat="1" applyFont="1" applyBorder="1" applyAlignment="1">
      <alignment horizontal="center" vertical="center" wrapText="1"/>
    </xf>
    <xf numFmtId="0" fontId="23" fillId="5" borderId="20" xfId="0" applyFont="1" applyFill="1" applyBorder="1" applyAlignment="1">
      <alignment vertical="center" wrapText="1"/>
    </xf>
    <xf numFmtId="167" fontId="11" fillId="2" borderId="20" xfId="0" applyNumberFormat="1" applyFont="1" applyFill="1" applyBorder="1" applyAlignment="1">
      <alignment vertical="center"/>
    </xf>
    <xf numFmtId="167" fontId="11" fillId="2" borderId="49" xfId="0" applyNumberFormat="1" applyFont="1" applyFill="1" applyBorder="1" applyAlignment="1">
      <alignment horizontal="center" vertical="center"/>
    </xf>
    <xf numFmtId="0" fontId="11" fillId="0" borderId="0" xfId="0" applyFont="1" applyBorder="1" applyAlignment="1">
      <alignment horizontal="left" vertical="center" wrapText="1"/>
    </xf>
    <xf numFmtId="0" fontId="0" fillId="0" borderId="0" xfId="0" applyAlignment="1">
      <alignment horizontal="left" vertical="center"/>
    </xf>
    <xf numFmtId="0" fontId="11" fillId="0" borderId="6" xfId="0" applyFont="1" applyBorder="1" applyAlignment="1">
      <alignment horizontal="left" vertical="center"/>
    </xf>
    <xf numFmtId="0" fontId="36" fillId="0" borderId="0" xfId="0" applyFont="1" applyAlignment="1">
      <alignment horizontal="left" vertical="center"/>
    </xf>
    <xf numFmtId="2" fontId="60" fillId="0" borderId="0" xfId="0" applyNumberFormat="1" applyFont="1" applyBorder="1" applyAlignment="1">
      <alignment horizontal="center" vertical="center"/>
    </xf>
    <xf numFmtId="0" fontId="10" fillId="0" borderId="6" xfId="0" quotePrefix="1" applyFont="1" applyBorder="1" applyAlignment="1">
      <alignment horizontal="left" vertical="center" wrapText="1"/>
    </xf>
    <xf numFmtId="2" fontId="24" fillId="0" borderId="0" xfId="0" applyNumberFormat="1" applyFont="1" applyAlignment="1">
      <alignment horizontal="center" vertical="center"/>
    </xf>
    <xf numFmtId="0" fontId="11" fillId="0" borderId="6" xfId="0" quotePrefix="1" applyFont="1" applyBorder="1" applyAlignment="1">
      <alignment vertical="center" wrapText="1"/>
    </xf>
    <xf numFmtId="0" fontId="18" fillId="5" borderId="22" xfId="3" applyFont="1" applyFill="1" applyBorder="1" applyAlignment="1">
      <alignment horizontal="center" vertical="center"/>
    </xf>
    <xf numFmtId="0" fontId="66" fillId="0" borderId="0" xfId="0" applyFont="1" applyAlignment="1">
      <alignment horizontal="left" vertical="center"/>
    </xf>
    <xf numFmtId="4" fontId="11" fillId="3" borderId="8"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16" fillId="0" borderId="0" xfId="0" applyFont="1" applyBorder="1" applyAlignment="1">
      <alignment horizontal="center" vertical="center"/>
    </xf>
    <xf numFmtId="0" fontId="11" fillId="0" borderId="0" xfId="0" applyFont="1" applyBorder="1" applyAlignment="1">
      <alignment horizontal="left" vertical="center" wrapText="1"/>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2" fillId="0" borderId="0" xfId="0" applyNumberFormat="1" applyFont="1" applyFill="1" applyBorder="1" applyAlignment="1">
      <alignment horizontal="center" vertical="center"/>
    </xf>
    <xf numFmtId="167" fontId="10" fillId="0" borderId="6" xfId="0" applyNumberFormat="1" applyFont="1" applyBorder="1" applyAlignment="1">
      <alignment horizontal="center" vertical="center" wrapText="1"/>
    </xf>
    <xf numFmtId="164" fontId="10" fillId="0" borderId="6" xfId="0" quotePrefix="1" applyNumberFormat="1" applyFont="1" applyBorder="1" applyAlignment="1">
      <alignment horizontal="center" vertical="center" wrapText="1"/>
    </xf>
    <xf numFmtId="0" fontId="23" fillId="0" borderId="6" xfId="0" applyFont="1" applyBorder="1" applyAlignment="1">
      <alignment horizontal="right" vertical="center" wrapText="1"/>
    </xf>
    <xf numFmtId="167" fontId="10" fillId="0" borderId="6" xfId="0" applyNumberFormat="1" applyFont="1" applyBorder="1" applyAlignment="1">
      <alignment vertical="center"/>
    </xf>
    <xf numFmtId="0" fontId="23" fillId="4" borderId="31" xfId="0" quotePrefix="1" applyFont="1" applyFill="1" applyBorder="1" applyAlignment="1">
      <alignment vertical="center"/>
    </xf>
    <xf numFmtId="0" fontId="23" fillId="0" borderId="0" xfId="0" applyFont="1" applyBorder="1" applyAlignment="1">
      <alignment horizontal="justify" vertical="center" wrapText="1"/>
    </xf>
    <xf numFmtId="0" fontId="23" fillId="0" borderId="8" xfId="0" applyFont="1" applyBorder="1" applyAlignment="1">
      <alignment horizontal="center" vertical="center" wrapText="1"/>
    </xf>
    <xf numFmtId="171" fontId="23" fillId="0" borderId="8" xfId="0" applyNumberFormat="1" applyFont="1" applyBorder="1" applyAlignment="1">
      <alignment horizontal="center" vertical="center" wrapText="1"/>
    </xf>
    <xf numFmtId="167" fontId="23" fillId="0" borderId="8" xfId="0" applyNumberFormat="1" applyFont="1" applyBorder="1" applyAlignment="1">
      <alignment horizontal="center" vertical="center" wrapText="1"/>
    </xf>
    <xf numFmtId="167" fontId="23" fillId="0" borderId="15" xfId="0" applyNumberFormat="1" applyFont="1" applyBorder="1" applyAlignment="1">
      <alignment horizontal="center" vertical="center" wrapText="1"/>
    </xf>
    <xf numFmtId="0" fontId="10" fillId="2" borderId="23" xfId="0" applyFont="1" applyFill="1" applyBorder="1" applyAlignment="1">
      <alignment horizontal="center" vertical="center"/>
    </xf>
    <xf numFmtId="167" fontId="23" fillId="2" borderId="19" xfId="0" applyNumberFormat="1" applyFont="1" applyFill="1" applyBorder="1" applyAlignment="1">
      <alignment horizontal="center" vertical="center" wrapText="1"/>
    </xf>
    <xf numFmtId="0" fontId="23" fillId="2" borderId="20" xfId="0" applyFont="1" applyFill="1" applyBorder="1" applyAlignment="1">
      <alignment horizontal="justify" vertical="center" wrapText="1"/>
    </xf>
    <xf numFmtId="167" fontId="10" fillId="2" borderId="34" xfId="0" applyNumberFormat="1" applyFont="1" applyFill="1" applyBorder="1" applyAlignment="1">
      <alignment vertical="center"/>
    </xf>
    <xf numFmtId="167" fontId="10" fillId="2" borderId="20" xfId="0" applyNumberFormat="1" applyFont="1" applyFill="1" applyBorder="1" applyAlignment="1">
      <alignment vertical="center"/>
    </xf>
    <xf numFmtId="167" fontId="10" fillId="2" borderId="49" xfId="0" applyNumberFormat="1" applyFont="1" applyFill="1" applyBorder="1" applyAlignment="1">
      <alignment horizontal="center" vertical="center"/>
    </xf>
    <xf numFmtId="0" fontId="23" fillId="4" borderId="31" xfId="0" applyFont="1" applyFill="1" applyBorder="1" applyAlignment="1">
      <alignment vertical="center"/>
    </xf>
    <xf numFmtId="180" fontId="10" fillId="0" borderId="6" xfId="0" quotePrefix="1" applyNumberFormat="1" applyFont="1" applyBorder="1" applyAlignment="1">
      <alignment horizontal="center" vertical="center" wrapText="1"/>
    </xf>
    <xf numFmtId="4" fontId="10" fillId="0" borderId="6" xfId="0" applyNumberFormat="1" applyFont="1" applyFill="1" applyBorder="1" applyAlignment="1">
      <alignment horizontal="center" vertical="center" wrapText="1"/>
    </xf>
    <xf numFmtId="167" fontId="10" fillId="0" borderId="6" xfId="0" applyNumberFormat="1" applyFont="1" applyBorder="1" applyAlignment="1">
      <alignment horizontal="right" vertical="center" wrapText="1"/>
    </xf>
    <xf numFmtId="0" fontId="10" fillId="2" borderId="17" xfId="3" applyFont="1" applyFill="1" applyBorder="1" applyAlignment="1">
      <alignment horizontal="center" vertical="center"/>
    </xf>
    <xf numFmtId="167" fontId="23" fillId="2" borderId="63" xfId="3" applyNumberFormat="1" applyFont="1" applyFill="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justify" vertical="center" wrapText="1"/>
    </xf>
    <xf numFmtId="167" fontId="23" fillId="0" borderId="22" xfId="0" applyNumberFormat="1" applyFont="1" applyBorder="1" applyAlignment="1">
      <alignment horizontal="center" vertical="center"/>
    </xf>
    <xf numFmtId="167" fontId="23" fillId="0" borderId="41" xfId="0" applyNumberFormat="1" applyFont="1" applyBorder="1" applyAlignment="1">
      <alignment horizontal="center" vertical="center" wrapText="1"/>
    </xf>
    <xf numFmtId="0" fontId="10" fillId="0" borderId="6" xfId="0" applyFont="1" applyBorder="1" applyAlignment="1">
      <alignment vertical="center" wrapText="1"/>
    </xf>
    <xf numFmtId="167" fontId="10" fillId="0" borderId="16" xfId="0" applyNumberFormat="1" applyFont="1" applyBorder="1" applyAlignment="1">
      <alignment horizontal="center" vertical="center" wrapText="1"/>
    </xf>
    <xf numFmtId="0" fontId="10" fillId="0" borderId="23" xfId="0" applyFont="1" applyBorder="1" applyAlignment="1">
      <alignment vertical="center"/>
    </xf>
    <xf numFmtId="0" fontId="23" fillId="0" borderId="14" xfId="0" applyFont="1" applyBorder="1" applyAlignment="1">
      <alignment horizontal="right" vertical="center"/>
    </xf>
    <xf numFmtId="167" fontId="23" fillId="0" borderId="14" xfId="0" applyNumberFormat="1" applyFont="1" applyBorder="1" applyAlignment="1">
      <alignment vertical="center"/>
    </xf>
    <xf numFmtId="167" fontId="10" fillId="0" borderId="19" xfId="0" applyNumberFormat="1" applyFont="1" applyBorder="1" applyAlignment="1">
      <alignment vertical="center"/>
    </xf>
    <xf numFmtId="0" fontId="67" fillId="0" borderId="90" xfId="0" applyFont="1" applyBorder="1" applyAlignment="1">
      <alignment horizontal="center" vertical="center"/>
    </xf>
    <xf numFmtId="0" fontId="11" fillId="0" borderId="0" xfId="0" applyFont="1" applyBorder="1" applyAlignment="1">
      <alignment vertical="center" wrapText="1"/>
    </xf>
    <xf numFmtId="0" fontId="10" fillId="0" borderId="0" xfId="0" applyFont="1" applyBorder="1" applyAlignment="1">
      <alignment horizontal="center" vertical="center" wrapText="1"/>
    </xf>
    <xf numFmtId="10" fontId="18" fillId="0" borderId="13" xfId="0" applyNumberFormat="1" applyFont="1" applyBorder="1" applyAlignment="1">
      <alignment horizontal="right" vertical="center"/>
    </xf>
    <xf numFmtId="4" fontId="9" fillId="0" borderId="0" xfId="0" applyNumberFormat="1" applyFont="1" applyBorder="1" applyAlignment="1">
      <alignment horizontal="left" vertical="center" wrapText="1"/>
    </xf>
    <xf numFmtId="166" fontId="7" fillId="0" borderId="31" xfId="0" applyNumberFormat="1" applyFont="1" applyFill="1" applyBorder="1" applyAlignment="1">
      <alignment horizontal="center" vertical="center" wrapText="1"/>
    </xf>
    <xf numFmtId="167" fontId="60" fillId="0" borderId="0" xfId="0" applyNumberFormat="1" applyFont="1" applyFill="1" applyBorder="1" applyAlignment="1">
      <alignment horizontal="center" vertical="center" wrapText="1"/>
    </xf>
    <xf numFmtId="0" fontId="10" fillId="0" borderId="0" xfId="0" applyFont="1" applyBorder="1" applyAlignment="1">
      <alignment horizontal="center" vertical="center"/>
    </xf>
    <xf numFmtId="0" fontId="10" fillId="0" borderId="0" xfId="0" applyFont="1" applyAlignment="1">
      <alignment horizontal="center" vertical="center"/>
    </xf>
    <xf numFmtId="2" fontId="24" fillId="0" borderId="0" xfId="0" applyNumberFormat="1" applyFont="1" applyAlignment="1">
      <alignment horizontal="left" vertical="center" wrapText="1"/>
    </xf>
    <xf numFmtId="167" fontId="23" fillId="0" borderId="44" xfId="3" applyNumberFormat="1" applyFont="1" applyFill="1" applyBorder="1" applyAlignment="1">
      <alignment horizontal="center" vertical="center" wrapText="1"/>
    </xf>
    <xf numFmtId="2" fontId="35" fillId="0" borderId="0" xfId="0" applyNumberFormat="1" applyFont="1" applyAlignment="1">
      <alignment horizontal="center" vertical="center"/>
    </xf>
    <xf numFmtId="0" fontId="0" fillId="0" borderId="0" xfId="0" applyAlignment="1">
      <alignment horizontal="left" vertical="center"/>
    </xf>
    <xf numFmtId="0" fontId="18" fillId="0" borderId="0" xfId="0" applyFont="1" applyFill="1" applyBorder="1" applyAlignment="1">
      <alignment vertical="center" wrapText="1"/>
    </xf>
    <xf numFmtId="0" fontId="23" fillId="0" borderId="0" xfId="0" applyFont="1" applyFill="1" applyBorder="1" applyAlignment="1">
      <alignment vertical="center" wrapText="1"/>
    </xf>
    <xf numFmtId="43" fontId="11" fillId="0" borderId="0" xfId="1" applyFont="1" applyFill="1" applyBorder="1" applyAlignment="1">
      <alignment horizontal="center" vertical="center"/>
    </xf>
    <xf numFmtId="2" fontId="11" fillId="0" borderId="0" xfId="1" applyNumberFormat="1" applyFont="1" applyFill="1" applyBorder="1" applyAlignment="1">
      <alignment horizontal="center" vertical="center" wrapText="1"/>
    </xf>
    <xf numFmtId="2" fontId="11" fillId="0" borderId="0" xfId="1" applyNumberFormat="1" applyFont="1" applyFill="1" applyBorder="1" applyAlignment="1">
      <alignment horizontal="center" vertical="center"/>
    </xf>
    <xf numFmtId="0" fontId="11" fillId="0" borderId="0" xfId="1" applyNumberFormat="1" applyFont="1" applyFill="1" applyBorder="1" applyAlignment="1">
      <alignment horizontal="center" vertical="center"/>
    </xf>
    <xf numFmtId="2" fontId="35" fillId="0" borderId="0" xfId="1" applyNumberFormat="1" applyFont="1" applyFill="1" applyBorder="1" applyAlignment="1" applyProtection="1">
      <alignment horizontal="center" vertical="center"/>
      <protection locked="0"/>
    </xf>
    <xf numFmtId="2" fontId="11" fillId="0" borderId="0" xfId="0" applyNumberFormat="1" applyFont="1" applyFill="1" applyBorder="1" applyAlignment="1" applyProtection="1">
      <alignment horizontal="center" vertical="center"/>
      <protection locked="0"/>
    </xf>
    <xf numFmtId="4" fontId="73" fillId="0" borderId="0" xfId="5" applyNumberFormat="1" applyFont="1" applyFill="1" applyBorder="1" applyAlignment="1">
      <alignment horizontal="center" vertical="center"/>
    </xf>
    <xf numFmtId="0" fontId="73" fillId="0" borderId="0" xfId="5" applyFont="1" applyFill="1" applyBorder="1" applyAlignment="1">
      <alignment horizontal="center" vertical="center"/>
    </xf>
    <xf numFmtId="4" fontId="73" fillId="0" borderId="0" xfId="5" applyNumberFormat="1" applyFont="1" applyFill="1" applyBorder="1" applyAlignment="1">
      <alignment vertical="center" wrapText="1"/>
    </xf>
    <xf numFmtId="0" fontId="27" fillId="0" borderId="0" xfId="0" applyFont="1" applyFill="1" applyBorder="1" applyAlignment="1">
      <alignment horizontal="center" vertical="center"/>
    </xf>
    <xf numFmtId="178" fontId="73" fillId="0" borderId="0" xfId="5" applyNumberFormat="1" applyFont="1" applyFill="1" applyBorder="1" applyAlignment="1">
      <alignment horizontal="center" vertical="center" wrapText="1"/>
    </xf>
    <xf numFmtId="4" fontId="74" fillId="0" borderId="0" xfId="5"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73" fillId="0" borderId="0" xfId="5" applyFont="1" applyFill="1" applyBorder="1" applyAlignment="1">
      <alignment horizontal="center" vertical="center" wrapText="1"/>
    </xf>
    <xf numFmtId="0" fontId="11" fillId="0" borderId="0" xfId="0" applyFont="1" applyAlignment="1">
      <alignment horizontal="left" vertical="center" wrapText="1"/>
    </xf>
    <xf numFmtId="2" fontId="11" fillId="0" borderId="0" xfId="0" applyNumberFormat="1" applyFont="1" applyAlignment="1">
      <alignment horizontal="center" vertical="center"/>
    </xf>
    <xf numFmtId="0" fontId="25" fillId="0" borderId="0" xfId="0" applyFont="1" applyAlignment="1">
      <alignment horizontal="center" vertical="center"/>
    </xf>
    <xf numFmtId="0" fontId="19" fillId="0" borderId="0" xfId="0" applyFont="1"/>
    <xf numFmtId="0" fontId="11" fillId="0" borderId="91" xfId="0" applyFont="1" applyFill="1" applyBorder="1" applyAlignment="1">
      <alignment horizontal="center" vertical="center"/>
    </xf>
    <xf numFmtId="0" fontId="0" fillId="0" borderId="0" xfId="0" applyFont="1"/>
    <xf numFmtId="0" fontId="0" fillId="0" borderId="0" xfId="0" applyFont="1" applyAlignment="1">
      <alignment horizontal="center"/>
    </xf>
    <xf numFmtId="176" fontId="0" fillId="0" borderId="0" xfId="0" applyNumberFormat="1" applyFont="1"/>
    <xf numFmtId="173" fontId="11" fillId="0" borderId="6" xfId="1" applyNumberFormat="1" applyFont="1" applyFill="1" applyBorder="1" applyAlignment="1">
      <alignment horizontal="left" vertical="center" wrapText="1"/>
    </xf>
    <xf numFmtId="176" fontId="24"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32" fillId="0" borderId="0" xfId="5" applyFont="1" applyFill="1" applyBorder="1" applyAlignment="1">
      <alignment horizontal="center" vertical="center"/>
    </xf>
    <xf numFmtId="0" fontId="32" fillId="0" borderId="0" xfId="5" applyFont="1" applyFill="1" applyBorder="1" applyAlignment="1">
      <alignment horizontal="left" vertical="center"/>
    </xf>
    <xf numFmtId="0" fontId="11" fillId="0" borderId="6" xfId="1" applyNumberFormat="1" applyFont="1" applyFill="1" applyBorder="1" applyAlignment="1">
      <alignment horizontal="left" vertical="center" wrapText="1"/>
    </xf>
    <xf numFmtId="167" fontId="23" fillId="0" borderId="16" xfId="0" applyNumberFormat="1" applyFont="1" applyBorder="1" applyAlignment="1">
      <alignment horizontal="center" vertical="center" wrapText="1"/>
    </xf>
    <xf numFmtId="167" fontId="10" fillId="0" borderId="0" xfId="0" applyNumberFormat="1" applyFont="1" applyBorder="1" applyAlignment="1">
      <alignment horizontal="center" vertical="center"/>
    </xf>
    <xf numFmtId="2" fontId="24" fillId="0" borderId="0" xfId="0" applyNumberFormat="1" applyFont="1" applyBorder="1" applyAlignment="1">
      <alignment horizontal="center" vertical="center"/>
    </xf>
    <xf numFmtId="0" fontId="11" fillId="0" borderId="6" xfId="0" applyFont="1" applyFill="1" applyBorder="1" applyAlignment="1" applyProtection="1">
      <alignment horizontal="left" vertical="center" wrapText="1"/>
      <protection locked="0"/>
    </xf>
    <xf numFmtId="2" fontId="10" fillId="0" borderId="0" xfId="1" applyNumberFormat="1" applyFont="1" applyFill="1" applyBorder="1" applyAlignment="1" applyProtection="1">
      <alignment horizontal="center" vertical="center"/>
      <protection locked="0"/>
    </xf>
    <xf numFmtId="0" fontId="74" fillId="0" borderId="0" xfId="5" applyFont="1" applyFill="1" applyBorder="1" applyAlignment="1">
      <alignment horizontal="center" vertical="center" wrapText="1"/>
    </xf>
    <xf numFmtId="0" fontId="73" fillId="0" borderId="0" xfId="5" applyFont="1" applyFill="1" applyBorder="1" applyAlignment="1">
      <alignment vertical="center"/>
    </xf>
    <xf numFmtId="0" fontId="86" fillId="0" borderId="0" xfId="0" applyFont="1" applyAlignment="1">
      <alignment wrapText="1"/>
    </xf>
    <xf numFmtId="2" fontId="10" fillId="0" borderId="0" xfId="1" applyNumberFormat="1" applyFont="1" applyFill="1" applyBorder="1" applyAlignment="1" applyProtection="1">
      <alignment horizontal="center" vertical="center"/>
    </xf>
    <xf numFmtId="0" fontId="0" fillId="0" borderId="0" xfId="0" applyAlignment="1">
      <alignment horizontal="left" vertical="center"/>
    </xf>
    <xf numFmtId="0" fontId="35" fillId="0" borderId="0" xfId="1" applyNumberFormat="1" applyFont="1" applyFill="1" applyBorder="1" applyAlignment="1">
      <alignment horizontal="center" vertical="center"/>
    </xf>
    <xf numFmtId="0" fontId="0" fillId="0" borderId="62" xfId="0" applyFont="1" applyFill="1" applyBorder="1" applyAlignment="1">
      <alignment horizontal="left" vertical="center"/>
    </xf>
    <xf numFmtId="2" fontId="10" fillId="0" borderId="0" xfId="0" quotePrefix="1" applyNumberFormat="1" applyFont="1" applyFill="1" applyBorder="1" applyAlignment="1">
      <alignment horizontal="center" vertical="center"/>
    </xf>
    <xf numFmtId="4" fontId="11" fillId="0" borderId="9" xfId="0" applyNumberFormat="1" applyFont="1" applyFill="1" applyBorder="1" applyAlignment="1">
      <alignment horizontal="right" vertical="center" wrapText="1"/>
    </xf>
    <xf numFmtId="172" fontId="10" fillId="0" borderId="0" xfId="0" applyNumberFormat="1" applyFont="1" applyBorder="1" applyAlignment="1">
      <alignment horizontal="center" vertical="center"/>
    </xf>
    <xf numFmtId="167" fontId="24" fillId="0" borderId="0" xfId="0" applyNumberFormat="1" applyFont="1" applyBorder="1" applyAlignment="1">
      <alignment horizontal="center" vertical="center" wrapText="1"/>
    </xf>
    <xf numFmtId="0" fontId="22" fillId="0" borderId="6" xfId="0" applyFont="1" applyBorder="1" applyAlignment="1">
      <alignment horizontal="left" vertical="center" wrapText="1"/>
    </xf>
    <xf numFmtId="2" fontId="55" fillId="0" borderId="0" xfId="0" applyNumberFormat="1" applyFont="1" applyFill="1" applyBorder="1" applyAlignment="1">
      <alignment horizontal="left" vertical="center"/>
    </xf>
    <xf numFmtId="0" fontId="24" fillId="0" borderId="12" xfId="0" applyFont="1" applyBorder="1" applyAlignment="1">
      <alignment horizontal="left" vertical="center"/>
    </xf>
    <xf numFmtId="0" fontId="16" fillId="0" borderId="0" xfId="0" applyFont="1" applyBorder="1" applyAlignment="1">
      <alignment horizontal="center" vertical="center"/>
    </xf>
    <xf numFmtId="0" fontId="11" fillId="0" borderId="0" xfId="0" applyFont="1" applyBorder="1" applyAlignment="1">
      <alignment horizontal="center" vertical="center" wrapText="1"/>
    </xf>
    <xf numFmtId="4" fontId="11" fillId="3" borderId="6" xfId="0" applyNumberFormat="1" applyFont="1" applyFill="1" applyBorder="1" applyAlignment="1">
      <alignment horizontal="right" vertical="center" wrapText="1"/>
    </xf>
    <xf numFmtId="4" fontId="11" fillId="3" borderId="9" xfId="0" applyNumberFormat="1" applyFont="1" applyFill="1" applyBorder="1" applyAlignment="1">
      <alignment horizontal="right" vertical="center" wrapText="1"/>
    </xf>
    <xf numFmtId="2" fontId="11" fillId="3" borderId="6" xfId="1" applyNumberFormat="1" applyFont="1" applyFill="1" applyBorder="1" applyAlignment="1" applyProtection="1">
      <alignment horizontal="right" vertical="center"/>
      <protection locked="0"/>
    </xf>
    <xf numFmtId="4" fontId="11" fillId="0" borderId="10" xfId="0" applyNumberFormat="1" applyFont="1" applyBorder="1" applyAlignment="1">
      <alignment horizontal="right" vertical="center"/>
    </xf>
    <xf numFmtId="2" fontId="11" fillId="3" borderId="6" xfId="1" applyNumberFormat="1" applyFont="1" applyFill="1" applyBorder="1" applyAlignment="1">
      <alignment horizontal="right" vertical="center" wrapText="1"/>
    </xf>
    <xf numFmtId="2" fontId="11" fillId="3" borderId="6" xfId="1" applyNumberFormat="1" applyFont="1" applyFill="1" applyBorder="1" applyAlignment="1">
      <alignment horizontal="right" vertical="center"/>
    </xf>
    <xf numFmtId="2" fontId="11" fillId="0" borderId="14" xfId="0" applyNumberFormat="1" applyFont="1" applyBorder="1" applyAlignment="1">
      <alignment horizontal="right" vertical="center"/>
    </xf>
    <xf numFmtId="0" fontId="11" fillId="0" borderId="14" xfId="0" applyFont="1" applyBorder="1" applyAlignment="1">
      <alignment horizontal="right" vertical="center"/>
    </xf>
    <xf numFmtId="4" fontId="11" fillId="0" borderId="14" xfId="0" applyNumberFormat="1" applyFont="1" applyBorder="1" applyAlignment="1">
      <alignment horizontal="right" vertical="center"/>
    </xf>
    <xf numFmtId="10" fontId="18" fillId="0" borderId="14" xfId="0" applyNumberFormat="1" applyFont="1" applyBorder="1" applyAlignment="1">
      <alignment horizontal="right" vertical="center"/>
    </xf>
    <xf numFmtId="2" fontId="18" fillId="2" borderId="20" xfId="0" applyNumberFormat="1" applyFont="1" applyFill="1" applyBorder="1" applyAlignment="1">
      <alignment horizontal="right" vertical="center" wrapText="1"/>
    </xf>
    <xf numFmtId="0" fontId="18" fillId="2" borderId="20" xfId="0" applyFont="1" applyFill="1" applyBorder="1" applyAlignment="1">
      <alignment horizontal="right" vertical="center" wrapText="1"/>
    </xf>
    <xf numFmtId="4" fontId="18" fillId="2" borderId="20"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xf>
    <xf numFmtId="2" fontId="11" fillId="32" borderId="6" xfId="0" applyNumberFormat="1" applyFont="1" applyFill="1" applyBorder="1" applyAlignment="1">
      <alignment horizontal="right" vertical="center"/>
    </xf>
    <xf numFmtId="4" fontId="11" fillId="32" borderId="6" xfId="0" applyNumberFormat="1" applyFont="1" applyFill="1" applyBorder="1" applyAlignment="1">
      <alignment horizontal="right" vertical="center" wrapText="1"/>
    </xf>
    <xf numFmtId="2" fontId="11" fillId="0" borderId="14" xfId="0" applyNumberFormat="1" applyFont="1" applyFill="1" applyBorder="1" applyAlignment="1">
      <alignment horizontal="right" vertical="center" wrapText="1"/>
    </xf>
    <xf numFmtId="0" fontId="11" fillId="0" borderId="14" xfId="0" applyFont="1" applyFill="1" applyBorder="1" applyAlignment="1">
      <alignment horizontal="right" vertical="center" wrapText="1"/>
    </xf>
    <xf numFmtId="4" fontId="11" fillId="0" borderId="14" xfId="0" applyNumberFormat="1" applyFont="1" applyFill="1" applyBorder="1" applyAlignment="1">
      <alignment horizontal="right" vertical="center" wrapText="1"/>
    </xf>
    <xf numFmtId="2" fontId="11" fillId="0" borderId="60" xfId="0" applyNumberFormat="1" applyFont="1" applyBorder="1" applyAlignment="1">
      <alignment horizontal="right" vertical="center"/>
    </xf>
    <xf numFmtId="0" fontId="11" fillId="0" borderId="60" xfId="0" applyFont="1" applyBorder="1" applyAlignment="1">
      <alignment horizontal="right" vertical="center"/>
    </xf>
    <xf numFmtId="4" fontId="11" fillId="0" borderId="60" xfId="0" applyNumberFormat="1" applyFont="1" applyBorder="1" applyAlignment="1">
      <alignment horizontal="right" vertical="center"/>
    </xf>
    <xf numFmtId="10" fontId="18" fillId="0" borderId="60" xfId="0" applyNumberFormat="1" applyFont="1" applyBorder="1" applyAlignment="1">
      <alignment horizontal="right" vertical="center"/>
    </xf>
    <xf numFmtId="0" fontId="11" fillId="0" borderId="6" xfId="0" applyFont="1" applyBorder="1" applyAlignment="1">
      <alignment horizontal="right" vertical="center"/>
    </xf>
    <xf numFmtId="0" fontId="11" fillId="0" borderId="59" xfId="0" applyFont="1" applyBorder="1" applyAlignment="1">
      <alignment horizontal="right" vertical="center"/>
    </xf>
    <xf numFmtId="10" fontId="18" fillId="0" borderId="6" xfId="0" applyNumberFormat="1" applyFont="1" applyBorder="1" applyAlignment="1">
      <alignment horizontal="right" vertical="center"/>
    </xf>
    <xf numFmtId="2" fontId="16" fillId="3" borderId="6" xfId="0" applyNumberFormat="1" applyFont="1" applyFill="1" applyBorder="1" applyAlignment="1">
      <alignment horizontal="right" vertical="center"/>
    </xf>
    <xf numFmtId="2" fontId="11" fillId="6" borderId="14" xfId="1" applyNumberFormat="1" applyFont="1" applyFill="1" applyBorder="1" applyAlignment="1">
      <alignment horizontal="right" vertical="center"/>
    </xf>
    <xf numFmtId="4" fontId="7" fillId="36" borderId="22" xfId="0" applyNumberFormat="1" applyFont="1" applyFill="1" applyBorder="1" applyAlignment="1">
      <alignment horizontal="right" vertical="center" wrapText="1"/>
    </xf>
    <xf numFmtId="2" fontId="11" fillId="36" borderId="22" xfId="1" applyNumberFormat="1" applyFont="1" applyFill="1" applyBorder="1" applyAlignment="1">
      <alignment horizontal="right" vertical="center"/>
    </xf>
    <xf numFmtId="4" fontId="7" fillId="33" borderId="8" xfId="0" applyNumberFormat="1" applyFont="1" applyFill="1" applyBorder="1" applyAlignment="1">
      <alignment horizontal="right" vertical="center" wrapText="1"/>
    </xf>
    <xf numFmtId="2" fontId="11" fillId="33" borderId="8" xfId="1" applyNumberFormat="1" applyFont="1" applyFill="1" applyBorder="1" applyAlignment="1">
      <alignment horizontal="right" vertical="center"/>
    </xf>
    <xf numFmtId="0" fontId="18" fillId="33" borderId="6" xfId="0" applyFont="1" applyFill="1" applyBorder="1" applyAlignment="1">
      <alignment horizontal="right" vertical="center" wrapText="1"/>
    </xf>
    <xf numFmtId="173" fontId="11" fillId="3" borderId="9"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4" fontId="11" fillId="0" borderId="14" xfId="0" applyNumberFormat="1" applyFont="1" applyFill="1" applyBorder="1" applyAlignment="1">
      <alignment horizontal="right" vertical="center"/>
    </xf>
    <xf numFmtId="167" fontId="11" fillId="0" borderId="6" xfId="0" applyNumberFormat="1" applyFont="1" applyBorder="1" applyAlignment="1">
      <alignment horizontal="right" vertical="center"/>
    </xf>
    <xf numFmtId="4" fontId="11" fillId="0" borderId="59" xfId="0" applyNumberFormat="1" applyFont="1" applyFill="1" applyBorder="1" applyAlignment="1">
      <alignment horizontal="right" vertical="center"/>
    </xf>
    <xf numFmtId="4" fontId="7" fillId="2" borderId="22" xfId="0" applyNumberFormat="1" applyFont="1" applyFill="1" applyBorder="1" applyAlignment="1">
      <alignment horizontal="right" vertical="center" wrapText="1"/>
    </xf>
    <xf numFmtId="2" fontId="10" fillId="0" borderId="0" xfId="0" applyNumberFormat="1" applyFont="1" applyFill="1" applyBorder="1" applyAlignment="1">
      <alignment horizontal="left" vertical="center" wrapText="1"/>
    </xf>
    <xf numFmtId="0" fontId="11" fillId="0" borderId="101" xfId="0" quotePrefix="1" applyFont="1" applyBorder="1" applyAlignment="1">
      <alignment horizontal="center" vertical="center"/>
    </xf>
    <xf numFmtId="2" fontId="60" fillId="0" borderId="0" xfId="0" quotePrefix="1" applyNumberFormat="1" applyFont="1" applyFill="1" applyBorder="1" applyAlignment="1">
      <alignment horizontal="center" vertical="center"/>
    </xf>
    <xf numFmtId="0" fontId="22" fillId="0" borderId="0" xfId="0" applyFont="1" applyBorder="1" applyAlignment="1">
      <alignment horizontal="center" vertical="center" wrapText="1"/>
    </xf>
    <xf numFmtId="171" fontId="22" fillId="0" borderId="0" xfId="0" applyNumberFormat="1" applyFont="1" applyBorder="1" applyAlignment="1">
      <alignment horizontal="center" vertical="center" wrapText="1"/>
    </xf>
    <xf numFmtId="167" fontId="22" fillId="0" borderId="0" xfId="0" applyNumberFormat="1" applyFont="1" applyBorder="1" applyAlignment="1">
      <alignment horizontal="center" vertical="center" wrapText="1"/>
    </xf>
    <xf numFmtId="0" fontId="10" fillId="0" borderId="0" xfId="0" applyFont="1" applyBorder="1" applyAlignment="1">
      <alignment horizontal="justify" vertical="center" wrapText="1"/>
    </xf>
    <xf numFmtId="0" fontId="16" fillId="0" borderId="0" xfId="0" applyFont="1" applyBorder="1" applyAlignment="1">
      <alignment horizontal="justify" vertical="center" wrapText="1"/>
    </xf>
    <xf numFmtId="0" fontId="15" fillId="0" borderId="0" xfId="0" applyFont="1" applyBorder="1" applyAlignment="1">
      <alignment horizontal="center" vertical="center" wrapText="1"/>
    </xf>
    <xf numFmtId="171" fontId="16" fillId="0" borderId="0" xfId="0" applyNumberFormat="1" applyFont="1" applyBorder="1" applyAlignment="1">
      <alignment horizontal="center" vertical="center" wrapText="1"/>
    </xf>
    <xf numFmtId="0" fontId="24" fillId="0" borderId="0" xfId="0" applyFont="1" applyBorder="1" applyAlignment="1">
      <alignment horizontal="left" vertical="center" wrapText="1"/>
    </xf>
    <xf numFmtId="171" fontId="10" fillId="0" borderId="0" xfId="0" applyNumberFormat="1" applyFont="1" applyBorder="1" applyAlignment="1">
      <alignment horizontal="center" vertical="center"/>
    </xf>
    <xf numFmtId="167" fontId="16" fillId="0" borderId="0" xfId="0" applyNumberFormat="1" applyFont="1" applyBorder="1" applyAlignment="1">
      <alignment horizontal="center" vertical="center" wrapText="1"/>
    </xf>
    <xf numFmtId="0" fontId="26" fillId="0" borderId="0" xfId="0" applyFont="1" applyBorder="1" applyAlignment="1">
      <alignment horizontal="left" vertical="center" wrapText="1"/>
    </xf>
    <xf numFmtId="0" fontId="26" fillId="0" borderId="0" xfId="0" applyFont="1" applyBorder="1" applyAlignment="1">
      <alignment wrapText="1"/>
    </xf>
    <xf numFmtId="0" fontId="11" fillId="0" borderId="0" xfId="0" applyFont="1" applyBorder="1" applyAlignment="1">
      <alignment horizontal="center" vertical="center"/>
    </xf>
    <xf numFmtId="2" fontId="16" fillId="0" borderId="0" xfId="0" applyNumberFormat="1" applyFont="1" applyBorder="1" applyAlignment="1">
      <alignment horizontal="center" vertical="center"/>
    </xf>
    <xf numFmtId="170" fontId="10" fillId="0" borderId="0" xfId="3" applyNumberFormat="1" applyFont="1" applyFill="1" applyBorder="1" applyAlignment="1">
      <alignment vertical="center" wrapText="1"/>
    </xf>
    <xf numFmtId="0" fontId="24" fillId="0" borderId="0" xfId="0" applyFont="1" applyBorder="1" applyAlignment="1">
      <alignment vertical="center" wrapText="1"/>
    </xf>
    <xf numFmtId="170" fontId="10" fillId="0" borderId="0" xfId="3" applyNumberFormat="1" applyFont="1" applyFill="1" applyBorder="1" applyAlignment="1">
      <alignment vertical="center"/>
    </xf>
    <xf numFmtId="0" fontId="23" fillId="0" borderId="0" xfId="0" quotePrefix="1" applyFont="1" applyFill="1" applyBorder="1" applyAlignment="1">
      <alignment horizontal="left" vertical="center" wrapText="1"/>
    </xf>
    <xf numFmtId="167" fontId="18" fillId="0" borderId="0" xfId="0" applyNumberFormat="1" applyFont="1" applyFill="1" applyBorder="1" applyAlignment="1">
      <alignment horizontal="center" vertical="center"/>
    </xf>
    <xf numFmtId="0" fontId="18" fillId="0" borderId="0" xfId="3" applyFont="1" applyFill="1" applyBorder="1" applyAlignment="1">
      <alignment vertical="center"/>
    </xf>
    <xf numFmtId="0" fontId="18" fillId="0" borderId="0" xfId="3" applyFont="1" applyFill="1" applyBorder="1" applyAlignment="1">
      <alignment horizontal="right" vertical="center"/>
    </xf>
    <xf numFmtId="0" fontId="18" fillId="0" borderId="0" xfId="0" applyFont="1" applyFill="1" applyBorder="1" applyAlignment="1">
      <alignment horizontal="center" vertical="center"/>
    </xf>
    <xf numFmtId="0" fontId="24" fillId="0" borderId="0" xfId="0" applyFont="1" applyFill="1" applyBorder="1" applyAlignment="1">
      <alignment vertical="center"/>
    </xf>
    <xf numFmtId="0" fontId="0" fillId="0" borderId="0" xfId="0" applyFill="1" applyAlignment="1"/>
    <xf numFmtId="0" fontId="18" fillId="0" borderId="0" xfId="3" applyFont="1" applyFill="1" applyBorder="1" applyAlignment="1">
      <alignment horizontal="right" vertical="center" wrapText="1"/>
    </xf>
    <xf numFmtId="167" fontId="23" fillId="0" borderId="0" xfId="3" applyNumberFormat="1" applyFont="1" applyFill="1" applyBorder="1" applyAlignment="1">
      <alignment horizontal="center" vertical="center" wrapText="1"/>
    </xf>
    <xf numFmtId="0" fontId="16" fillId="0" borderId="102" xfId="0" applyFont="1" applyBorder="1" applyAlignment="1">
      <alignment vertical="center"/>
    </xf>
    <xf numFmtId="167" fontId="22" fillId="0" borderId="93" xfId="0" applyNumberFormat="1" applyFont="1" applyBorder="1" applyAlignment="1">
      <alignment horizontal="center" vertical="center" wrapText="1"/>
    </xf>
    <xf numFmtId="0" fontId="10" fillId="0" borderId="102" xfId="0" applyFont="1" applyBorder="1" applyAlignment="1">
      <alignment horizontal="center" vertical="center" wrapText="1"/>
    </xf>
    <xf numFmtId="167" fontId="24" fillId="0" borderId="93" xfId="0" applyNumberFormat="1" applyFont="1" applyBorder="1" applyAlignment="1">
      <alignment horizontal="center" vertical="center" wrapText="1"/>
    </xf>
    <xf numFmtId="0" fontId="24" fillId="0" borderId="102" xfId="0" applyFont="1" applyBorder="1" applyAlignment="1">
      <alignment horizontal="center" vertical="center"/>
    </xf>
    <xf numFmtId="0" fontId="16" fillId="0" borderId="92" xfId="0" applyFont="1" applyBorder="1" applyAlignment="1">
      <alignment horizontal="justify" vertical="center" wrapText="1"/>
    </xf>
    <xf numFmtId="167" fontId="25" fillId="0" borderId="93" xfId="0" applyNumberFormat="1" applyFont="1" applyBorder="1" applyAlignment="1">
      <alignment horizontal="center" vertical="center" wrapText="1"/>
    </xf>
    <xf numFmtId="0" fontId="10" fillId="0" borderId="102" xfId="0" applyFont="1" applyBorder="1" applyAlignment="1">
      <alignment horizontal="center" vertical="center"/>
    </xf>
    <xf numFmtId="0" fontId="11" fillId="6" borderId="6" xfId="0" applyFont="1" applyFill="1" applyBorder="1" applyAlignment="1">
      <alignment horizontal="left" vertical="center" wrapText="1"/>
    </xf>
    <xf numFmtId="0" fontId="22" fillId="0" borderId="92" xfId="0" applyFont="1" applyBorder="1" applyAlignment="1">
      <alignment horizontal="justify" vertical="center" wrapText="1"/>
    </xf>
    <xf numFmtId="0" fontId="10" fillId="0" borderId="92" xfId="0" applyFont="1" applyBorder="1" applyAlignment="1">
      <alignment horizontal="justify" vertical="center" wrapText="1"/>
    </xf>
    <xf numFmtId="0" fontId="16" fillId="0" borderId="99" xfId="0" applyFont="1" applyBorder="1" applyAlignment="1">
      <alignment horizontal="center" vertical="center" wrapText="1"/>
    </xf>
    <xf numFmtId="0" fontId="26" fillId="0" borderId="92" xfId="0" applyFont="1" applyBorder="1" applyAlignment="1">
      <alignment horizontal="left" vertical="center" wrapText="1"/>
    </xf>
    <xf numFmtId="0" fontId="16" fillId="0" borderId="94" xfId="0" applyFont="1" applyBorder="1" applyAlignment="1">
      <alignment horizontal="center" vertical="center" wrapText="1"/>
    </xf>
    <xf numFmtId="2" fontId="24" fillId="0" borderId="0" xfId="0" applyNumberFormat="1" applyFont="1" applyAlignment="1">
      <alignment horizontal="right" vertical="center"/>
    </xf>
    <xf numFmtId="0" fontId="10" fillId="0" borderId="54" xfId="0" applyFont="1" applyBorder="1" applyAlignment="1">
      <alignment horizontal="left" vertical="center" wrapText="1"/>
    </xf>
    <xf numFmtId="0" fontId="19" fillId="0" borderId="12" xfId="0" applyFont="1" applyBorder="1" applyAlignment="1">
      <alignment vertical="center"/>
    </xf>
    <xf numFmtId="0" fontId="19" fillId="0" borderId="0" xfId="0" applyFont="1" applyBorder="1" applyAlignment="1">
      <alignment vertical="center"/>
    </xf>
    <xf numFmtId="0" fontId="19" fillId="0" borderId="13" xfId="0" applyFont="1" applyBorder="1" applyAlignment="1">
      <alignment vertical="center"/>
    </xf>
    <xf numFmtId="0" fontId="68" fillId="0" borderId="12" xfId="0" applyFont="1" applyBorder="1" applyAlignment="1">
      <alignment horizontal="left" vertical="center"/>
    </xf>
    <xf numFmtId="2" fontId="19" fillId="0" borderId="13" xfId="0" applyNumberFormat="1" applyFont="1" applyBorder="1" applyAlignment="1">
      <alignment vertical="center" wrapText="1"/>
    </xf>
    <xf numFmtId="10" fontId="68" fillId="0" borderId="0" xfId="0" applyNumberFormat="1" applyFont="1" applyBorder="1" applyAlignment="1">
      <alignment horizontal="right" vertical="center"/>
    </xf>
    <xf numFmtId="10" fontId="68" fillId="0" borderId="13" xfId="0" applyNumberFormat="1" applyFont="1" applyBorder="1" applyAlignment="1">
      <alignment horizontal="center" vertical="center"/>
    </xf>
    <xf numFmtId="0" fontId="68" fillId="0" borderId="12" xfId="0" applyFont="1" applyBorder="1" applyAlignment="1">
      <alignment vertical="center"/>
    </xf>
    <xf numFmtId="0" fontId="68" fillId="0" borderId="0" xfId="0" applyFont="1" applyBorder="1" applyAlignment="1">
      <alignment vertical="center"/>
    </xf>
    <xf numFmtId="4" fontId="68" fillId="0" borderId="0" xfId="0" applyNumberFormat="1" applyFont="1" applyBorder="1" applyAlignment="1">
      <alignment horizontal="right" vertical="center"/>
    </xf>
    <xf numFmtId="49" fontId="68" fillId="0" borderId="13" xfId="0" applyNumberFormat="1" applyFont="1" applyBorder="1" applyAlignment="1">
      <alignment horizontal="center" vertical="center"/>
    </xf>
    <xf numFmtId="0" fontId="68" fillId="0" borderId="0" xfId="0" applyFont="1" applyFill="1" applyBorder="1" applyAlignment="1">
      <alignment vertical="center"/>
    </xf>
    <xf numFmtId="0" fontId="68" fillId="34" borderId="36" xfId="0" applyFont="1" applyFill="1" applyBorder="1" applyAlignment="1">
      <alignment horizontal="right" vertical="center" wrapText="1"/>
    </xf>
    <xf numFmtId="0" fontId="68" fillId="0" borderId="54" xfId="0" applyFont="1" applyFill="1" applyBorder="1" applyAlignment="1">
      <alignment horizontal="right" vertical="center" wrapText="1"/>
    </xf>
    <xf numFmtId="167" fontId="68" fillId="0" borderId="43" xfId="0" applyNumberFormat="1" applyFont="1" applyFill="1" applyBorder="1" applyAlignment="1">
      <alignment horizontal="justify" vertical="center" wrapText="1"/>
    </xf>
    <xf numFmtId="167" fontId="68" fillId="0" borderId="55" xfId="0" applyNumberFormat="1" applyFont="1" applyFill="1" applyBorder="1" applyAlignment="1">
      <alignment horizontal="justify" vertical="center" wrapText="1"/>
    </xf>
    <xf numFmtId="0" fontId="68" fillId="0" borderId="54" xfId="0" applyFont="1" applyFill="1" applyBorder="1" applyAlignment="1">
      <alignment horizontal="right" vertical="center"/>
    </xf>
    <xf numFmtId="0" fontId="68" fillId="0" borderId="43" xfId="0" applyFont="1" applyFill="1" applyBorder="1" applyAlignment="1">
      <alignment horizontal="left" vertical="center"/>
    </xf>
    <xf numFmtId="0" fontId="68" fillId="0" borderId="55" xfId="0" applyFont="1" applyFill="1" applyBorder="1" applyAlignment="1">
      <alignment horizontal="left" vertical="center"/>
    </xf>
    <xf numFmtId="0" fontId="68" fillId="31" borderId="6" xfId="0" applyFont="1" applyFill="1" applyBorder="1" applyAlignment="1">
      <alignment horizontal="center" vertical="center"/>
    </xf>
    <xf numFmtId="167" fontId="19" fillId="0" borderId="6" xfId="0" applyNumberFormat="1" applyFont="1" applyFill="1" applyBorder="1" applyAlignment="1">
      <alignment horizontal="center" vertical="center" wrapText="1"/>
    </xf>
    <xf numFmtId="167" fontId="68" fillId="31" borderId="14" xfId="0" quotePrefix="1" applyNumberFormat="1" applyFont="1" applyFill="1" applyBorder="1" applyAlignment="1">
      <alignment horizontal="center" vertical="center" wrapText="1"/>
    </xf>
    <xf numFmtId="0" fontId="68" fillId="0" borderId="43" xfId="0" applyFont="1" applyFill="1" applyBorder="1" applyAlignment="1">
      <alignment horizontal="right" vertical="center"/>
    </xf>
    <xf numFmtId="167" fontId="68" fillId="0" borderId="43" xfId="0" quotePrefix="1" applyNumberFormat="1" applyFont="1" applyFill="1" applyBorder="1" applyAlignment="1">
      <alignment horizontal="center" vertical="center" wrapText="1"/>
    </xf>
    <xf numFmtId="0" fontId="19" fillId="0" borderId="43" xfId="0" applyFont="1" applyFill="1" applyBorder="1" applyAlignment="1">
      <alignment horizontal="center" vertical="center" wrapText="1"/>
    </xf>
    <xf numFmtId="0" fontId="19" fillId="0" borderId="55" xfId="0" applyFont="1" applyFill="1" applyBorder="1" applyAlignment="1">
      <alignment horizontal="center" vertical="center" wrapText="1"/>
    </xf>
    <xf numFmtId="0" fontId="68" fillId="31" borderId="24" xfId="0" applyFont="1" applyFill="1" applyBorder="1" applyAlignment="1">
      <alignment horizontal="center" vertical="center" wrapText="1"/>
    </xf>
    <xf numFmtId="0" fontId="68" fillId="31" borderId="10" xfId="0" applyFont="1" applyFill="1" applyBorder="1" applyAlignment="1">
      <alignment horizontal="center" vertical="center" wrapText="1"/>
    </xf>
    <xf numFmtId="2" fontId="19" fillId="0" borderId="10" xfId="0" applyNumberFormat="1" applyFont="1" applyBorder="1" applyAlignment="1">
      <alignment vertical="center" wrapText="1"/>
    </xf>
    <xf numFmtId="0" fontId="68" fillId="31" borderId="31" xfId="0" applyFont="1" applyFill="1" applyBorder="1" applyAlignment="1">
      <alignment horizontal="center" vertical="center" wrapText="1"/>
    </xf>
    <xf numFmtId="0" fontId="68" fillId="31" borderId="8" xfId="0" applyFont="1" applyFill="1" applyBorder="1" applyAlignment="1">
      <alignment horizontal="center" vertical="center" wrapText="1"/>
    </xf>
    <xf numFmtId="167" fontId="19" fillId="0" borderId="24" xfId="0" quotePrefix="1" applyNumberFormat="1" applyFont="1" applyFill="1" applyBorder="1" applyAlignment="1">
      <alignment horizontal="center" vertical="center" wrapText="1"/>
    </xf>
    <xf numFmtId="167" fontId="19" fillId="0" borderId="6" xfId="0" quotePrefix="1" applyNumberFormat="1" applyFont="1" applyFill="1" applyBorder="1" applyAlignment="1">
      <alignment vertical="center" wrapText="1"/>
    </xf>
    <xf numFmtId="0" fontId="19" fillId="0" borderId="24" xfId="0" quotePrefix="1" applyFont="1" applyFill="1" applyBorder="1" applyAlignment="1">
      <alignment horizontal="center" vertical="center" wrapText="1"/>
    </xf>
    <xf numFmtId="2" fontId="19" fillId="0" borderId="6" xfId="0" applyNumberFormat="1" applyFont="1" applyFill="1" applyBorder="1" applyAlignment="1">
      <alignment vertical="center"/>
    </xf>
    <xf numFmtId="167" fontId="68" fillId="31" borderId="14" xfId="0" applyNumberFormat="1" applyFont="1" applyFill="1" applyBorder="1" applyAlignment="1">
      <alignment horizontal="right" vertical="center" wrapText="1"/>
    </xf>
    <xf numFmtId="167" fontId="19" fillId="31" borderId="40" xfId="0" quotePrefix="1" applyNumberFormat="1" applyFont="1" applyFill="1" applyBorder="1" applyAlignment="1">
      <alignment vertical="center" wrapText="1"/>
    </xf>
    <xf numFmtId="167" fontId="19" fillId="31" borderId="57" xfId="0" quotePrefix="1" applyNumberFormat="1" applyFont="1" applyFill="1" applyBorder="1" applyAlignment="1">
      <alignment vertical="center" wrapText="1"/>
    </xf>
    <xf numFmtId="167" fontId="19" fillId="31" borderId="58" xfId="0" quotePrefix="1" applyNumberFormat="1" applyFont="1" applyFill="1" applyBorder="1" applyAlignment="1">
      <alignment vertical="center" wrapText="1"/>
    </xf>
    <xf numFmtId="0" fontId="68" fillId="0" borderId="12" xfId="0" applyFont="1" applyFill="1" applyBorder="1" applyAlignment="1">
      <alignment horizontal="right" vertical="center"/>
    </xf>
    <xf numFmtId="0" fontId="68" fillId="0" borderId="0" xfId="0" applyFont="1" applyFill="1" applyBorder="1" applyAlignment="1">
      <alignment horizontal="right" vertical="center"/>
    </xf>
    <xf numFmtId="167" fontId="68" fillId="0" borderId="0" xfId="0" quotePrefix="1"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13" xfId="0" applyFont="1" applyFill="1" applyBorder="1" applyAlignment="1">
      <alignment horizontal="center" vertical="center" wrapText="1"/>
    </xf>
    <xf numFmtId="2" fontId="80" fillId="0" borderId="24" xfId="0" applyNumberFormat="1" applyFont="1" applyBorder="1" applyAlignment="1">
      <alignment horizontal="center" vertical="center" wrapText="1"/>
    </xf>
    <xf numFmtId="2" fontId="19" fillId="0" borderId="12" xfId="0" applyNumberFormat="1" applyFont="1" applyBorder="1" applyAlignment="1">
      <alignment horizontal="center" vertical="center" wrapText="1"/>
    </xf>
    <xf numFmtId="2" fontId="19" fillId="0" borderId="0" xfId="0" applyNumberFormat="1" applyFont="1" applyBorder="1" applyAlignment="1">
      <alignment horizontal="center" vertical="center" wrapText="1"/>
    </xf>
    <xf numFmtId="2" fontId="19" fillId="0" borderId="13" xfId="0" applyNumberFormat="1" applyFont="1" applyBorder="1" applyAlignment="1">
      <alignment horizontal="center" vertical="center" wrapText="1"/>
    </xf>
    <xf numFmtId="0" fontId="68" fillId="0" borderId="12" xfId="0" quotePrefix="1" applyFont="1" applyFill="1" applyBorder="1" applyAlignment="1">
      <alignment vertical="center" wrapText="1"/>
    </xf>
    <xf numFmtId="0" fontId="68" fillId="0" borderId="0" xfId="0" applyFont="1" applyFill="1" applyBorder="1" applyAlignment="1">
      <alignment horizontal="center" vertical="center"/>
    </xf>
    <xf numFmtId="0" fontId="19" fillId="0" borderId="24" xfId="0" applyFont="1" applyFill="1" applyBorder="1" applyAlignment="1">
      <alignment horizontal="center" vertical="center" wrapText="1"/>
    </xf>
    <xf numFmtId="167" fontId="68" fillId="31" borderId="19" xfId="0" applyNumberFormat="1" applyFont="1" applyFill="1" applyBorder="1" applyAlignment="1">
      <alignment horizontal="right" vertical="center" wrapText="1"/>
    </xf>
    <xf numFmtId="0" fontId="68" fillId="0" borderId="12" xfId="0" applyFont="1" applyFill="1" applyBorder="1" applyAlignment="1">
      <alignment horizontal="center" vertical="center" wrapText="1"/>
    </xf>
    <xf numFmtId="0" fontId="68" fillId="0" borderId="0" xfId="0" applyFont="1" applyFill="1" applyBorder="1" applyAlignment="1">
      <alignment horizontal="center" vertical="center" wrapText="1"/>
    </xf>
    <xf numFmtId="167" fontId="68" fillId="0" borderId="0" xfId="0" applyNumberFormat="1" applyFont="1" applyFill="1" applyBorder="1" applyAlignment="1">
      <alignment horizontal="right" vertical="center" wrapText="1"/>
    </xf>
    <xf numFmtId="167" fontId="68" fillId="0" borderId="13" xfId="0" applyNumberFormat="1" applyFont="1" applyFill="1" applyBorder="1" applyAlignment="1">
      <alignment horizontal="center" vertical="center" wrapText="1"/>
    </xf>
    <xf numFmtId="0" fontId="68" fillId="0" borderId="6" xfId="0" applyFont="1" applyFill="1" applyBorder="1" applyAlignment="1">
      <alignment horizontal="center" vertical="center" wrapText="1"/>
    </xf>
    <xf numFmtId="167" fontId="19" fillId="0" borderId="9" xfId="0" quotePrefix="1" applyNumberFormat="1" applyFont="1" applyFill="1" applyBorder="1" applyAlignment="1">
      <alignment horizontal="center" vertical="center" wrapText="1"/>
    </xf>
    <xf numFmtId="167" fontId="68" fillId="31" borderId="40" xfId="0" applyNumberFormat="1" applyFont="1" applyFill="1" applyBorder="1" applyAlignment="1">
      <alignment horizontal="right" vertical="center" wrapText="1"/>
    </xf>
    <xf numFmtId="0" fontId="19" fillId="0" borderId="12" xfId="0" applyFont="1" applyFill="1" applyBorder="1" applyAlignment="1">
      <alignment vertical="center"/>
    </xf>
    <xf numFmtId="0" fontId="19" fillId="0" borderId="0" xfId="0" applyFont="1" applyFill="1" applyBorder="1" applyAlignment="1">
      <alignment vertical="center"/>
    </xf>
    <xf numFmtId="0" fontId="19" fillId="0" borderId="13" xfId="0" applyFont="1" applyFill="1" applyBorder="1" applyAlignment="1">
      <alignment vertical="center"/>
    </xf>
    <xf numFmtId="0" fontId="68" fillId="0" borderId="24" xfId="0" applyFont="1" applyFill="1" applyBorder="1" applyAlignment="1">
      <alignment horizontal="center" vertical="center" wrapText="1"/>
    </xf>
    <xf numFmtId="0" fontId="68" fillId="31" borderId="23" xfId="0" applyFont="1" applyFill="1" applyBorder="1" applyAlignment="1">
      <alignment horizontal="right" vertical="center" wrapText="1"/>
    </xf>
    <xf numFmtId="167" fontId="19" fillId="31" borderId="40" xfId="0" applyNumberFormat="1" applyFont="1" applyFill="1" applyBorder="1" applyAlignment="1">
      <alignment vertical="center" wrapText="1"/>
    </xf>
    <xf numFmtId="167" fontId="19" fillId="31" borderId="57" xfId="0" applyNumberFormat="1" applyFont="1" applyFill="1" applyBorder="1" applyAlignment="1">
      <alignment vertical="center" wrapText="1"/>
    </xf>
    <xf numFmtId="167" fontId="19" fillId="31" borderId="58" xfId="0" applyNumberFormat="1" applyFont="1" applyFill="1" applyBorder="1" applyAlignment="1">
      <alignment vertical="center" wrapText="1"/>
    </xf>
    <xf numFmtId="0" fontId="68" fillId="0" borderId="12" xfId="0" applyFont="1" applyFill="1" applyBorder="1" applyAlignment="1">
      <alignment horizontal="right" vertical="center" wrapText="1"/>
    </xf>
    <xf numFmtId="2" fontId="68" fillId="0" borderId="0" xfId="0" applyNumberFormat="1" applyFont="1" applyFill="1" applyBorder="1" applyAlignment="1">
      <alignment horizontal="center" vertical="center" wrapText="1"/>
    </xf>
    <xf numFmtId="167" fontId="19" fillId="0" borderId="0" xfId="0" applyNumberFormat="1" applyFont="1" applyFill="1" applyBorder="1" applyAlignment="1">
      <alignment vertical="center" wrapText="1"/>
    </xf>
    <xf numFmtId="167" fontId="19" fillId="0" borderId="13" xfId="0" applyNumberFormat="1" applyFont="1" applyFill="1" applyBorder="1" applyAlignment="1">
      <alignment vertical="center" wrapText="1"/>
    </xf>
    <xf numFmtId="0" fontId="68" fillId="31" borderId="24" xfId="0" applyFont="1" applyFill="1" applyBorder="1" applyAlignment="1">
      <alignment horizontal="center" vertical="center"/>
    </xf>
    <xf numFmtId="0" fontId="68" fillId="31" borderId="6" xfId="0" applyFont="1" applyFill="1" applyBorder="1" applyAlignment="1">
      <alignment horizontal="right" vertical="center"/>
    </xf>
    <xf numFmtId="2" fontId="19" fillId="0" borderId="6" xfId="0" applyNumberFormat="1" applyFont="1" applyFill="1" applyBorder="1" applyAlignment="1">
      <alignment horizontal="center" vertical="center"/>
    </xf>
    <xf numFmtId="0" fontId="19" fillId="0" borderId="6" xfId="0" applyFont="1" applyFill="1" applyBorder="1" applyAlignment="1">
      <alignment vertical="center"/>
    </xf>
    <xf numFmtId="2" fontId="68" fillId="0" borderId="6" xfId="0" applyNumberFormat="1" applyFont="1" applyFill="1" applyBorder="1" applyAlignment="1">
      <alignment vertical="center"/>
    </xf>
    <xf numFmtId="167" fontId="68" fillId="41" borderId="14" xfId="0" applyNumberFormat="1" applyFont="1" applyFill="1" applyBorder="1" applyAlignment="1">
      <alignment horizontal="right" vertical="center" wrapText="1"/>
    </xf>
    <xf numFmtId="2" fontId="68" fillId="31" borderId="14" xfId="0" applyNumberFormat="1" applyFont="1" applyFill="1" applyBorder="1" applyAlignment="1">
      <alignment vertical="center"/>
    </xf>
    <xf numFmtId="167" fontId="19" fillId="0" borderId="9" xfId="0" quotePrefix="1" applyNumberFormat="1" applyFont="1" applyFill="1" applyBorder="1" applyAlignment="1">
      <alignment horizontal="right" vertical="center" wrapText="1"/>
    </xf>
    <xf numFmtId="1" fontId="19" fillId="0" borderId="6" xfId="0" applyNumberFormat="1" applyFont="1" applyFill="1" applyBorder="1" applyAlignment="1">
      <alignment horizontal="right" vertical="center" wrapText="1"/>
    </xf>
    <xf numFmtId="174" fontId="68" fillId="31" borderId="40" xfId="0" applyNumberFormat="1" applyFont="1" applyFill="1" applyBorder="1" applyAlignment="1">
      <alignment horizontal="right" vertical="center" wrapText="1"/>
    </xf>
    <xf numFmtId="167" fontId="68" fillId="31" borderId="14" xfId="0" applyNumberFormat="1" applyFont="1" applyFill="1" applyBorder="1" applyAlignment="1">
      <alignment vertical="center" wrapText="1"/>
    </xf>
    <xf numFmtId="0" fontId="19" fillId="0" borderId="17" xfId="0" applyFont="1" applyFill="1" applyBorder="1" applyAlignment="1">
      <alignment horizontal="center" vertical="center" wrapText="1"/>
    </xf>
    <xf numFmtId="1" fontId="19" fillId="0" borderId="59" xfId="0" applyNumberFormat="1" applyFont="1" applyFill="1" applyBorder="1" applyAlignment="1">
      <alignment horizontal="center" vertical="center"/>
    </xf>
    <xf numFmtId="1" fontId="19" fillId="0" borderId="10" xfId="0" applyNumberFormat="1" applyFont="1" applyFill="1" applyBorder="1" applyAlignment="1">
      <alignment horizontal="center" vertical="center"/>
    </xf>
    <xf numFmtId="0" fontId="68" fillId="41" borderId="73" xfId="0" quotePrefix="1" applyFont="1" applyFill="1" applyBorder="1" applyAlignment="1">
      <alignment vertical="center" wrapText="1"/>
    </xf>
    <xf numFmtId="0" fontId="68" fillId="41" borderId="57" xfId="0" quotePrefix="1" applyFont="1" applyFill="1" applyBorder="1" applyAlignment="1">
      <alignment vertical="center" wrapText="1"/>
    </xf>
    <xf numFmtId="0" fontId="68" fillId="31" borderId="57" xfId="0" applyFont="1" applyFill="1" applyBorder="1" applyAlignment="1">
      <alignment vertical="center"/>
    </xf>
    <xf numFmtId="0" fontId="68" fillId="31" borderId="58" xfId="0" applyFont="1" applyFill="1" applyBorder="1" applyAlignment="1">
      <alignment vertical="center"/>
    </xf>
    <xf numFmtId="0" fontId="18" fillId="5" borderId="20" xfId="0" applyFont="1" applyFill="1" applyBorder="1" applyAlignment="1">
      <alignment horizontal="left" vertical="center" wrapText="1"/>
    </xf>
    <xf numFmtId="2" fontId="10" fillId="0" borderId="0" xfId="0" applyNumberFormat="1" applyFont="1" applyFill="1" applyBorder="1" applyAlignment="1">
      <alignment vertical="center"/>
    </xf>
    <xf numFmtId="2" fontId="10" fillId="0" borderId="0" xfId="0" applyNumberFormat="1" applyFont="1" applyBorder="1" applyAlignment="1">
      <alignment horizontal="center" vertical="center" wrapText="1"/>
    </xf>
    <xf numFmtId="0" fontId="24" fillId="0" borderId="0" xfId="0" applyFont="1" applyBorder="1" applyAlignment="1">
      <alignment vertical="center"/>
    </xf>
    <xf numFmtId="0" fontId="90" fillId="5" borderId="20" xfId="0" applyFont="1" applyFill="1" applyBorder="1" applyAlignment="1">
      <alignment horizontal="left" vertical="center" wrapText="1"/>
    </xf>
    <xf numFmtId="0" fontId="90" fillId="5" borderId="22" xfId="0" applyFont="1" applyFill="1" applyBorder="1" applyAlignment="1">
      <alignment horizontal="left" vertical="center" wrapText="1"/>
    </xf>
    <xf numFmtId="0" fontId="10" fillId="0" borderId="55" xfId="0" applyFont="1" applyBorder="1" applyAlignment="1">
      <alignment vertical="center"/>
    </xf>
    <xf numFmtId="0" fontId="10" fillId="0" borderId="54" xfId="0" applyFont="1" applyBorder="1" applyAlignment="1">
      <alignment vertical="center" wrapText="1"/>
    </xf>
    <xf numFmtId="0" fontId="10" fillId="0" borderId="0" xfId="0" applyFont="1" applyBorder="1" applyAlignment="1">
      <alignment vertical="center"/>
    </xf>
    <xf numFmtId="0" fontId="67" fillId="0" borderId="0" xfId="0" applyFont="1" applyBorder="1" applyAlignment="1">
      <alignment horizontal="center" vertical="center"/>
    </xf>
    <xf numFmtId="0" fontId="19" fillId="0" borderId="55" xfId="0" applyFont="1" applyBorder="1" applyAlignment="1">
      <alignment vertical="top" wrapText="1"/>
    </xf>
    <xf numFmtId="0" fontId="0" fillId="0" borderId="6" xfId="0" applyFont="1" applyFill="1" applyBorder="1" applyAlignment="1">
      <alignment horizontal="left" vertical="center"/>
    </xf>
    <xf numFmtId="0" fontId="0" fillId="0" borderId="6" xfId="0" applyFill="1" applyBorder="1" applyAlignment="1">
      <alignment horizontal="left" vertical="center"/>
    </xf>
    <xf numFmtId="2" fontId="19" fillId="0" borderId="6" xfId="0" applyNumberFormat="1" applyFont="1" applyFill="1" applyBorder="1" applyAlignment="1">
      <alignment horizontal="center" vertical="center" wrapText="1"/>
    </xf>
    <xf numFmtId="0" fontId="68" fillId="31" borderId="73" xfId="0" applyFont="1" applyFill="1" applyBorder="1" applyAlignment="1">
      <alignment horizontal="right"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0" fontId="68" fillId="31" borderId="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0" fontId="10" fillId="0" borderId="36" xfId="0" applyFont="1" applyBorder="1" applyAlignment="1">
      <alignment vertical="center" wrapText="1"/>
    </xf>
    <xf numFmtId="0" fontId="19" fillId="0" borderId="0" xfId="0" applyFont="1" applyBorder="1" applyAlignment="1">
      <alignment vertical="top" wrapText="1"/>
    </xf>
    <xf numFmtId="0" fontId="19" fillId="0" borderId="39" xfId="0" applyFont="1" applyBorder="1" applyAlignment="1">
      <alignment vertical="top" wrapText="1"/>
    </xf>
    <xf numFmtId="0" fontId="0" fillId="0" borderId="24" xfId="0" applyFill="1" applyBorder="1" applyAlignment="1">
      <alignment horizontal="left" vertical="center"/>
    </xf>
    <xf numFmtId="2" fontId="10" fillId="0" borderId="7" xfId="0" applyNumberFormat="1" applyFont="1" applyFill="1" applyBorder="1" applyAlignment="1">
      <alignment horizontal="center" vertical="center"/>
    </xf>
    <xf numFmtId="0" fontId="25" fillId="0" borderId="86" xfId="0" applyFont="1" applyBorder="1" applyAlignment="1">
      <alignment horizontal="center" vertical="center"/>
    </xf>
    <xf numFmtId="0" fontId="24" fillId="0" borderId="24" xfId="0" applyFont="1" applyBorder="1" applyAlignment="1">
      <alignment horizontal="left" vertical="center"/>
    </xf>
    <xf numFmtId="0" fontId="25" fillId="0" borderId="88" xfId="0" applyFont="1" applyBorder="1" applyAlignment="1">
      <alignment horizontal="center" vertical="center"/>
    </xf>
    <xf numFmtId="0" fontId="24" fillId="0" borderId="32" xfId="0" applyFont="1" applyBorder="1" applyAlignment="1">
      <alignment horizontal="left" vertical="center"/>
    </xf>
    <xf numFmtId="176" fontId="10" fillId="0" borderId="7" xfId="0" applyNumberFormat="1" applyFont="1" applyFill="1" applyBorder="1" applyAlignment="1">
      <alignment horizontal="center" vertical="center"/>
    </xf>
    <xf numFmtId="2" fontId="10" fillId="0" borderId="1" xfId="0" applyNumberFormat="1" applyFont="1" applyFill="1" applyBorder="1" applyAlignment="1">
      <alignment horizontal="center" vertical="center"/>
    </xf>
    <xf numFmtId="0" fontId="67" fillId="0" borderId="85" xfId="0" applyFont="1" applyBorder="1" applyAlignment="1">
      <alignment horizontal="left" vertical="center"/>
    </xf>
    <xf numFmtId="0" fontId="67" fillId="0" borderId="21" xfId="0" applyFont="1" applyBorder="1" applyAlignment="1">
      <alignment horizontal="left" vertical="center"/>
    </xf>
    <xf numFmtId="0" fontId="67" fillId="0" borderId="22" xfId="0" applyFont="1" applyBorder="1" applyAlignment="1">
      <alignment horizontal="left" vertical="center"/>
    </xf>
    <xf numFmtId="0" fontId="67" fillId="0" borderId="41" xfId="0" applyFont="1" applyBorder="1" applyAlignment="1">
      <alignment horizontal="left" vertical="center"/>
    </xf>
    <xf numFmtId="0" fontId="67" fillId="40" borderId="36" xfId="0" applyFont="1" applyFill="1" applyBorder="1" applyAlignment="1">
      <alignment horizontal="left" vertical="center"/>
    </xf>
    <xf numFmtId="0" fontId="67" fillId="40" borderId="37" xfId="0" applyFont="1" applyFill="1" applyBorder="1" applyAlignment="1">
      <alignment horizontal="left" vertical="center"/>
    </xf>
    <xf numFmtId="0" fontId="67" fillId="40" borderId="39" xfId="0" applyFont="1" applyFill="1" applyBorder="1" applyAlignment="1">
      <alignment horizontal="left" vertical="center"/>
    </xf>
    <xf numFmtId="0" fontId="0" fillId="0" borderId="21" xfId="0" applyBorder="1" applyAlignment="1">
      <alignment horizontal="left" vertical="center"/>
    </xf>
    <xf numFmtId="0" fontId="0" fillId="0" borderId="16" xfId="0" applyBorder="1" applyAlignment="1">
      <alignment horizontal="left" vertical="center"/>
    </xf>
    <xf numFmtId="0" fontId="0" fillId="0" borderId="23" xfId="0" applyFill="1" applyBorder="1" applyAlignment="1">
      <alignment horizontal="left" vertical="center"/>
    </xf>
    <xf numFmtId="0" fontId="0" fillId="0" borderId="19" xfId="0" applyBorder="1" applyAlignment="1">
      <alignment horizontal="left" vertical="center"/>
    </xf>
    <xf numFmtId="0" fontId="0" fillId="0" borderId="85" xfId="0" applyFont="1" applyFill="1" applyBorder="1" applyAlignment="1">
      <alignment horizontal="left" vertical="center"/>
    </xf>
    <xf numFmtId="0" fontId="0" fillId="0" borderId="86" xfId="0" applyFont="1" applyFill="1" applyBorder="1" applyAlignment="1">
      <alignment horizontal="left" vertical="center"/>
    </xf>
    <xf numFmtId="0" fontId="0" fillId="0" borderId="87" xfId="0" applyFont="1" applyFill="1" applyBorder="1" applyAlignment="1">
      <alignment horizontal="left" vertical="center"/>
    </xf>
    <xf numFmtId="0" fontId="0" fillId="0" borderId="85" xfId="0" applyFill="1" applyBorder="1" applyAlignment="1">
      <alignment horizontal="left" vertical="center"/>
    </xf>
    <xf numFmtId="0" fontId="0" fillId="0" borderId="86" xfId="0" applyFill="1" applyBorder="1" applyAlignment="1">
      <alignment horizontal="left" vertical="center"/>
    </xf>
    <xf numFmtId="0" fontId="0" fillId="0" borderId="86" xfId="0" applyFill="1" applyBorder="1" applyAlignment="1">
      <alignment horizontal="left" vertical="center" wrapText="1"/>
    </xf>
    <xf numFmtId="0" fontId="0" fillId="0" borderId="86" xfId="0" applyFont="1" applyFill="1" applyBorder="1" applyAlignment="1">
      <alignment horizontal="left" vertical="center" wrapText="1"/>
    </xf>
    <xf numFmtId="0" fontId="0" fillId="0" borderId="87" xfId="0" applyFont="1" applyFill="1" applyBorder="1" applyAlignment="1">
      <alignment horizontal="left" vertical="center" wrapText="1"/>
    </xf>
    <xf numFmtId="176" fontId="0" fillId="0" borderId="85" xfId="0" applyNumberFormat="1" applyFill="1" applyBorder="1" applyAlignment="1">
      <alignment horizontal="right" vertical="center"/>
    </xf>
    <xf numFmtId="176" fontId="0" fillId="0" borderId="86" xfId="0" applyNumberFormat="1" applyFill="1" applyBorder="1" applyAlignment="1">
      <alignment horizontal="right" vertical="center"/>
    </xf>
    <xf numFmtId="176" fontId="0" fillId="0" borderId="86" xfId="0" applyNumberFormat="1" applyFont="1" applyFill="1" applyBorder="1" applyAlignment="1">
      <alignment horizontal="right" vertical="center"/>
    </xf>
    <xf numFmtId="0" fontId="0" fillId="0" borderId="25" xfId="0" applyFill="1" applyBorder="1" applyAlignment="1">
      <alignment horizontal="center" vertical="center"/>
    </xf>
    <xf numFmtId="0" fontId="0" fillId="0" borderId="51"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73" xfId="0" applyFont="1" applyFill="1" applyBorder="1" applyAlignment="1">
      <alignment horizontal="center" vertical="center"/>
    </xf>
    <xf numFmtId="176" fontId="0" fillId="0" borderId="77" xfId="0" applyNumberFormat="1" applyFill="1" applyBorder="1" applyAlignment="1">
      <alignment horizontal="left" vertical="center"/>
    </xf>
    <xf numFmtId="0" fontId="87" fillId="0" borderId="26" xfId="0" applyFont="1" applyFill="1" applyBorder="1" applyAlignment="1" applyProtection="1">
      <alignment vertical="center"/>
      <protection hidden="1"/>
    </xf>
    <xf numFmtId="0" fontId="17" fillId="0" borderId="34" xfId="0" applyFont="1" applyFill="1" applyBorder="1" applyAlignment="1" applyProtection="1">
      <alignment vertical="center"/>
      <protection hidden="1"/>
    </xf>
    <xf numFmtId="0" fontId="87" fillId="0" borderId="34" xfId="0" applyFont="1" applyFill="1" applyBorder="1" applyAlignment="1" applyProtection="1">
      <alignment vertical="center"/>
      <protection hidden="1"/>
    </xf>
    <xf numFmtId="0" fontId="17" fillId="0" borderId="28" xfId="0" applyFont="1" applyFill="1" applyBorder="1" applyAlignment="1" applyProtection="1">
      <alignment vertical="center"/>
      <protection hidden="1"/>
    </xf>
    <xf numFmtId="0" fontId="87" fillId="0" borderId="12" xfId="0" applyFont="1" applyFill="1" applyBorder="1" applyAlignment="1" applyProtection="1">
      <alignment vertical="center"/>
      <protection hidden="1"/>
    </xf>
    <xf numFmtId="0" fontId="17" fillId="0" borderId="0" xfId="0" applyFont="1" applyFill="1" applyBorder="1" applyAlignment="1" applyProtection="1">
      <alignment vertical="center"/>
      <protection hidden="1"/>
    </xf>
    <xf numFmtId="0" fontId="87" fillId="0" borderId="0" xfId="0" applyFont="1" applyFill="1" applyBorder="1" applyAlignment="1" applyProtection="1">
      <alignment vertical="center"/>
      <protection hidden="1"/>
    </xf>
    <xf numFmtId="0" fontId="17" fillId="0" borderId="13" xfId="0" applyFont="1" applyFill="1" applyBorder="1" applyAlignment="1" applyProtection="1">
      <alignment vertical="center"/>
      <protection hidden="1"/>
    </xf>
    <xf numFmtId="0" fontId="87" fillId="0" borderId="48" xfId="0" applyFont="1" applyFill="1" applyBorder="1" applyAlignment="1" applyProtection="1">
      <alignment vertical="center"/>
      <protection hidden="1"/>
    </xf>
    <xf numFmtId="0" fontId="17" fillId="0" borderId="96" xfId="0" applyFont="1" applyFill="1" applyBorder="1" applyAlignment="1" applyProtection="1">
      <alignment vertical="center"/>
      <protection hidden="1"/>
    </xf>
    <xf numFmtId="0" fontId="87" fillId="0" borderId="96" xfId="0" applyFont="1" applyFill="1" applyBorder="1" applyAlignment="1" applyProtection="1">
      <alignment vertical="center"/>
      <protection hidden="1"/>
    </xf>
    <xf numFmtId="0" fontId="17" fillId="0" borderId="97" xfId="0" applyFont="1" applyFill="1" applyBorder="1" applyAlignment="1" applyProtection="1">
      <alignment vertical="center"/>
      <protection hidden="1"/>
    </xf>
    <xf numFmtId="0" fontId="67" fillId="40" borderId="45" xfId="0" applyFont="1" applyFill="1" applyBorder="1" applyAlignment="1">
      <alignment horizontal="left" vertical="center"/>
    </xf>
    <xf numFmtId="0" fontId="0" fillId="0" borderId="18" xfId="0" applyBorder="1"/>
    <xf numFmtId="0" fontId="0" fillId="0" borderId="60" xfId="0" applyBorder="1"/>
    <xf numFmtId="181" fontId="0" fillId="0" borderId="41" xfId="0" applyNumberFormat="1" applyBorder="1" applyAlignment="1">
      <alignment horizontal="center" vertical="center"/>
    </xf>
    <xf numFmtId="181" fontId="0" fillId="0" borderId="16" xfId="0" applyNumberFormat="1" applyBorder="1" applyAlignment="1">
      <alignment horizontal="center" vertical="center"/>
    </xf>
    <xf numFmtId="0" fontId="0" fillId="0" borderId="16" xfId="0" applyBorder="1" applyAlignment="1">
      <alignment horizontal="center" vertical="center"/>
    </xf>
    <xf numFmtId="176" fontId="0" fillId="0" borderId="16" xfId="0" applyNumberFormat="1" applyFill="1" applyBorder="1" applyAlignment="1">
      <alignment horizontal="left" vertical="center"/>
    </xf>
    <xf numFmtId="0" fontId="0" fillId="0" borderId="24"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23" xfId="0" applyFont="1" applyFill="1" applyBorder="1" applyAlignment="1">
      <alignment horizontal="left" vertical="center"/>
    </xf>
    <xf numFmtId="0" fontId="0" fillId="0" borderId="14" xfId="0" applyFont="1" applyFill="1" applyBorder="1" applyAlignment="1">
      <alignment horizontal="left" vertical="center"/>
    </xf>
    <xf numFmtId="0" fontId="0" fillId="0" borderId="19" xfId="0" applyFont="1" applyFill="1" applyBorder="1" applyAlignment="1">
      <alignment horizontal="left" vertical="center"/>
    </xf>
    <xf numFmtId="0" fontId="0" fillId="0" borderId="18" xfId="0" applyFill="1" applyBorder="1" applyAlignment="1">
      <alignment horizontal="left" vertical="center"/>
    </xf>
    <xf numFmtId="0" fontId="0" fillId="0" borderId="82" xfId="0" applyBorder="1" applyAlignment="1">
      <alignment horizontal="left" vertical="center"/>
    </xf>
    <xf numFmtId="181" fontId="0" fillId="0" borderId="7" xfId="0" applyNumberFormat="1" applyFill="1" applyBorder="1" applyAlignment="1">
      <alignment horizontal="left" vertical="center"/>
    </xf>
    <xf numFmtId="181" fontId="0" fillId="0" borderId="40" xfId="0" applyNumberFormat="1" applyFill="1" applyBorder="1" applyAlignment="1">
      <alignment horizontal="left" vertical="center"/>
    </xf>
    <xf numFmtId="0" fontId="0" fillId="0" borderId="50" xfId="0" applyFill="1" applyBorder="1" applyAlignment="1">
      <alignment horizontal="left" vertical="center"/>
    </xf>
    <xf numFmtId="0" fontId="0" fillId="40" borderId="49" xfId="0" applyFill="1" applyBorder="1" applyAlignment="1">
      <alignment horizontal="left" vertical="center"/>
    </xf>
    <xf numFmtId="0" fontId="67" fillId="40" borderId="74" xfId="0" applyFont="1" applyFill="1" applyBorder="1" applyAlignment="1">
      <alignment horizontal="left" vertical="center"/>
    </xf>
    <xf numFmtId="0" fontId="22" fillId="3" borderId="26" xfId="0" applyFont="1" applyFill="1" applyBorder="1" applyAlignment="1">
      <alignment horizontal="center" vertical="center"/>
    </xf>
    <xf numFmtId="0" fontId="22" fillId="3" borderId="13" xfId="0" applyFont="1" applyFill="1" applyBorder="1" applyAlignment="1">
      <alignment vertical="center"/>
    </xf>
    <xf numFmtId="0" fontId="22" fillId="3" borderId="12" xfId="0" applyFont="1" applyFill="1" applyBorder="1" applyAlignment="1">
      <alignment horizontal="center" vertical="center"/>
    </xf>
    <xf numFmtId="0" fontId="22" fillId="3" borderId="36" xfId="0" applyFont="1" applyFill="1" applyBorder="1" applyAlignment="1">
      <alignment horizontal="left" vertical="center"/>
    </xf>
    <xf numFmtId="2" fontId="16" fillId="3" borderId="39" xfId="0" applyNumberFormat="1" applyFont="1" applyFill="1" applyBorder="1" applyAlignment="1">
      <alignment horizontal="left"/>
    </xf>
    <xf numFmtId="0" fontId="22" fillId="3" borderId="41" xfId="0" applyFont="1" applyFill="1" applyBorder="1" applyAlignment="1">
      <alignment horizontal="center" vertical="center"/>
    </xf>
    <xf numFmtId="0" fontId="24" fillId="0" borderId="24" xfId="0" applyFont="1" applyFill="1" applyBorder="1" applyAlignment="1">
      <alignment horizontal="left" vertical="center"/>
    </xf>
    <xf numFmtId="2" fontId="16" fillId="0" borderId="16" xfId="0" applyNumberFormat="1" applyFont="1" applyFill="1" applyBorder="1" applyAlignment="1">
      <alignment horizontal="center" vertical="center"/>
    </xf>
    <xf numFmtId="0" fontId="22" fillId="3" borderId="24" xfId="0" applyFont="1" applyFill="1" applyBorder="1" applyAlignment="1">
      <alignment horizontal="center" vertical="center"/>
    </xf>
    <xf numFmtId="0" fontId="22" fillId="3" borderId="16" xfId="0" applyFont="1" applyFill="1" applyBorder="1" applyAlignment="1">
      <alignment vertical="center"/>
    </xf>
    <xf numFmtId="0" fontId="24" fillId="0" borderId="24" xfId="0" applyFont="1" applyFill="1" applyBorder="1" applyAlignment="1">
      <alignment horizontal="left" vertical="center" wrapText="1"/>
    </xf>
    <xf numFmtId="0" fontId="10" fillId="0" borderId="24" xfId="0" applyFont="1" applyFill="1" applyBorder="1" applyAlignment="1">
      <alignment horizontal="left" vertical="center"/>
    </xf>
    <xf numFmtId="2" fontId="11" fillId="0" borderId="16" xfId="0" applyNumberFormat="1" applyFont="1" applyFill="1" applyBorder="1" applyAlignment="1">
      <alignment horizontal="center" vertical="center"/>
    </xf>
    <xf numFmtId="0" fontId="16" fillId="40" borderId="24" xfId="0" applyFont="1" applyFill="1" applyBorder="1" applyAlignment="1">
      <alignment horizontal="left" vertical="center"/>
    </xf>
    <xf numFmtId="0" fontId="16" fillId="0" borderId="16" xfId="0" applyFont="1" applyFill="1" applyBorder="1" applyAlignment="1">
      <alignment horizontal="left" vertical="center"/>
    </xf>
    <xf numFmtId="0" fontId="24" fillId="0" borderId="24" xfId="0" applyFont="1" applyFill="1" applyBorder="1" applyAlignment="1">
      <alignment horizontal="center" vertical="center"/>
    </xf>
    <xf numFmtId="2" fontId="16" fillId="0" borderId="16" xfId="0" applyNumberFormat="1" applyFont="1" applyFill="1" applyBorder="1" applyAlignment="1">
      <alignment horizontal="left"/>
    </xf>
    <xf numFmtId="0" fontId="24" fillId="40" borderId="24" xfId="0" applyFont="1" applyFill="1" applyBorder="1" applyAlignment="1">
      <alignment horizontal="left" vertical="center"/>
    </xf>
    <xf numFmtId="2" fontId="16" fillId="0" borderId="16" xfId="0" applyNumberFormat="1" applyFont="1" applyFill="1" applyBorder="1" applyAlignment="1">
      <alignment horizontal="left" vertical="center"/>
    </xf>
    <xf numFmtId="0" fontId="16" fillId="0" borderId="16" xfId="0" applyFont="1" applyFill="1" applyBorder="1" applyAlignment="1">
      <alignment horizontal="center" vertical="center"/>
    </xf>
    <xf numFmtId="2" fontId="16" fillId="0" borderId="35" xfId="0" applyNumberFormat="1" applyFont="1" applyFill="1" applyBorder="1" applyAlignment="1">
      <alignment horizontal="center" vertical="center"/>
    </xf>
    <xf numFmtId="0" fontId="22" fillId="3" borderId="24" xfId="0" applyFont="1" applyFill="1" applyBorder="1" applyAlignment="1">
      <alignment horizontal="left" vertical="center"/>
    </xf>
    <xf numFmtId="2" fontId="16" fillId="3" borderId="16" xfId="0" applyNumberFormat="1" applyFont="1" applyFill="1" applyBorder="1" applyAlignment="1">
      <alignment horizontal="left" vertical="center"/>
    </xf>
    <xf numFmtId="0" fontId="16" fillId="0" borderId="24" xfId="0" applyFont="1" applyFill="1" applyBorder="1" applyAlignment="1">
      <alignment vertical="center" wrapText="1"/>
    </xf>
    <xf numFmtId="2" fontId="16" fillId="0" borderId="16" xfId="0" applyNumberFormat="1" applyFont="1" applyFill="1" applyBorder="1" applyAlignment="1">
      <alignment horizontal="right" vertical="center" wrapText="1"/>
    </xf>
    <xf numFmtId="0" fontId="16" fillId="0" borderId="16" xfId="0" applyFont="1" applyFill="1" applyBorder="1" applyAlignment="1">
      <alignment horizontal="right" vertical="center" wrapText="1"/>
    </xf>
    <xf numFmtId="0" fontId="16" fillId="0" borderId="23" xfId="0" applyFont="1" applyFill="1" applyBorder="1" applyAlignment="1">
      <alignment vertical="center" wrapText="1"/>
    </xf>
    <xf numFmtId="2" fontId="16" fillId="0" borderId="19" xfId="0" applyNumberFormat="1" applyFont="1" applyFill="1" applyBorder="1" applyAlignment="1">
      <alignment horizontal="right" vertical="center" wrapText="1"/>
    </xf>
    <xf numFmtId="2" fontId="16" fillId="0" borderId="19" xfId="0" applyNumberFormat="1" applyFont="1" applyFill="1" applyBorder="1" applyAlignment="1">
      <alignment horizontal="center" vertical="center"/>
    </xf>
    <xf numFmtId="2" fontId="16" fillId="0" borderId="16" xfId="0" applyNumberFormat="1" applyFont="1" applyFill="1" applyBorder="1" applyAlignment="1">
      <alignment vertical="center" wrapText="1"/>
    </xf>
    <xf numFmtId="0" fontId="24" fillId="0" borderId="31" xfId="0" applyFont="1" applyFill="1" applyBorder="1" applyAlignment="1">
      <alignment horizontal="left" vertical="center"/>
    </xf>
    <xf numFmtId="2" fontId="16" fillId="0" borderId="15" xfId="0" applyNumberFormat="1" applyFont="1" applyFill="1" applyBorder="1" applyAlignment="1">
      <alignment horizontal="center" vertical="center"/>
    </xf>
    <xf numFmtId="0" fontId="24" fillId="0" borderId="32" xfId="0" applyFont="1" applyFill="1" applyBorder="1" applyAlignment="1">
      <alignment horizontal="left" vertical="center"/>
    </xf>
    <xf numFmtId="0" fontId="24" fillId="0" borderId="24" xfId="0" applyFont="1" applyFill="1" applyBorder="1" applyAlignment="1">
      <alignment vertical="center" wrapText="1"/>
    </xf>
    <xf numFmtId="2" fontId="16" fillId="0" borderId="16" xfId="0" applyNumberFormat="1" applyFont="1" applyFill="1" applyBorder="1" applyAlignment="1">
      <alignment horizontal="center" vertical="center" wrapText="1"/>
    </xf>
    <xf numFmtId="0" fontId="16" fillId="0" borderId="16" xfId="0" applyFont="1" applyFill="1" applyBorder="1" applyAlignment="1">
      <alignment horizontal="center" vertical="center" wrapText="1"/>
    </xf>
    <xf numFmtId="2" fontId="16" fillId="0" borderId="19"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23" xfId="0" applyFont="1" applyFill="1" applyBorder="1" applyAlignment="1">
      <alignment vertical="center" wrapText="1"/>
    </xf>
    <xf numFmtId="0" fontId="24" fillId="0" borderId="23" xfId="0" applyFont="1" applyFill="1" applyBorder="1" applyAlignment="1">
      <alignment horizontal="left" vertical="center"/>
    </xf>
    <xf numFmtId="0" fontId="24" fillId="40" borderId="24" xfId="0" applyFont="1" applyFill="1" applyBorder="1" applyAlignment="1">
      <alignment vertical="center" wrapText="1"/>
    </xf>
    <xf numFmtId="0" fontId="16" fillId="40" borderId="24" xfId="0" applyFont="1" applyFill="1" applyBorder="1" applyAlignment="1">
      <alignment vertical="center" wrapText="1"/>
    </xf>
    <xf numFmtId="0" fontId="27" fillId="0" borderId="13" xfId="0" applyFont="1" applyBorder="1" applyAlignment="1">
      <alignment vertical="center"/>
    </xf>
    <xf numFmtId="0" fontId="18" fillId="0" borderId="0" xfId="0" applyFont="1" applyBorder="1" applyAlignment="1">
      <alignment horizontal="center" vertical="center" wrapText="1"/>
    </xf>
    <xf numFmtId="0" fontId="22" fillId="0" borderId="12" xfId="0" applyFont="1" applyBorder="1" applyAlignment="1">
      <alignment vertical="center"/>
    </xf>
    <xf numFmtId="0" fontId="22" fillId="0" borderId="0" xfId="0" applyFont="1" applyBorder="1" applyAlignment="1">
      <alignment vertical="center"/>
    </xf>
    <xf numFmtId="0" fontId="22" fillId="0" borderId="13" xfId="0" applyFont="1" applyBorder="1" applyAlignment="1">
      <alignment vertical="center"/>
    </xf>
    <xf numFmtId="0" fontId="16" fillId="0" borderId="12" xfId="0" applyFont="1" applyFill="1" applyBorder="1" applyAlignment="1">
      <alignment vertical="center"/>
    </xf>
    <xf numFmtId="0" fontId="0" fillId="0" borderId="96" xfId="0" applyBorder="1"/>
    <xf numFmtId="0" fontId="10" fillId="0" borderId="54" xfId="0" applyFont="1" applyBorder="1" applyAlignment="1">
      <alignment horizontal="left" vertical="center" wrapText="1"/>
    </xf>
    <xf numFmtId="0" fontId="19" fillId="0" borderId="48" xfId="0" applyFont="1" applyBorder="1" applyAlignment="1">
      <alignment vertical="center"/>
    </xf>
    <xf numFmtId="0" fontId="19" fillId="0" borderId="46" xfId="0" applyFont="1" applyBorder="1" applyAlignment="1">
      <alignment vertical="center"/>
    </xf>
    <xf numFmtId="0" fontId="19" fillId="0" borderId="47" xfId="0" applyFont="1" applyBorder="1" applyAlignment="1">
      <alignment vertical="center"/>
    </xf>
    <xf numFmtId="2" fontId="19" fillId="31" borderId="46" xfId="0" applyNumberFormat="1" applyFont="1" applyFill="1" applyBorder="1" applyAlignment="1">
      <alignment horizontal="center" vertical="center" wrapText="1"/>
    </xf>
    <xf numFmtId="2" fontId="19" fillId="31" borderId="47" xfId="0" applyNumberFormat="1" applyFont="1" applyFill="1" applyBorder="1" applyAlignment="1">
      <alignment horizontal="center" vertical="center" wrapText="1"/>
    </xf>
    <xf numFmtId="167" fontId="68" fillId="0" borderId="48" xfId="0" quotePrefix="1" applyNumberFormat="1" applyFont="1" applyFill="1" applyBorder="1" applyAlignment="1">
      <alignment horizontal="right" vertical="center" wrapText="1"/>
    </xf>
    <xf numFmtId="167" fontId="68" fillId="0" borderId="46" xfId="0" quotePrefix="1" applyNumberFormat="1" applyFont="1" applyFill="1" applyBorder="1" applyAlignment="1">
      <alignment horizontal="right" vertical="center" wrapText="1"/>
    </xf>
    <xf numFmtId="2" fontId="19" fillId="0" borderId="46" xfId="0" applyNumberFormat="1" applyFont="1" applyFill="1" applyBorder="1" applyAlignment="1">
      <alignment horizontal="center" vertical="center" wrapText="1"/>
    </xf>
    <xf numFmtId="2" fontId="19" fillId="0" borderId="47" xfId="0" applyNumberFormat="1" applyFont="1" applyFill="1" applyBorder="1" applyAlignment="1">
      <alignment horizontal="center" vertical="center" wrapText="1"/>
    </xf>
    <xf numFmtId="0" fontId="68" fillId="34" borderId="18" xfId="0" applyFont="1" applyFill="1" applyBorder="1" applyAlignment="1">
      <alignment horizontal="right" vertical="center" wrapText="1"/>
    </xf>
    <xf numFmtId="0" fontId="19" fillId="31" borderId="48" xfId="0" quotePrefix="1" applyFont="1" applyFill="1" applyBorder="1" applyAlignment="1">
      <alignment vertical="center" wrapText="1"/>
    </xf>
    <xf numFmtId="0" fontId="68" fillId="31" borderId="46" xfId="0" applyFont="1" applyFill="1" applyBorder="1" applyAlignment="1">
      <alignment horizontal="center" vertical="center"/>
    </xf>
    <xf numFmtId="167" fontId="68" fillId="31" borderId="46" xfId="0" quotePrefix="1" applyNumberFormat="1" applyFont="1" applyFill="1" applyBorder="1" applyAlignment="1">
      <alignment horizontal="center" vertical="center" wrapText="1"/>
    </xf>
    <xf numFmtId="0" fontId="19" fillId="0" borderId="79"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80" xfId="0" applyFont="1" applyFill="1" applyBorder="1" applyAlignment="1">
      <alignment horizontal="center" vertical="center" wrapText="1"/>
    </xf>
    <xf numFmtId="0" fontId="68" fillId="0" borderId="48" xfId="0" applyFont="1" applyFill="1" applyBorder="1" applyAlignment="1">
      <alignment horizontal="right" vertical="center" wrapText="1"/>
    </xf>
    <xf numFmtId="0" fontId="68" fillId="0" borderId="46" xfId="0" applyFont="1" applyFill="1" applyBorder="1" applyAlignment="1">
      <alignment horizontal="right" vertical="center" wrapText="1"/>
    </xf>
    <xf numFmtId="167" fontId="68" fillId="0" borderId="46" xfId="0" applyNumberFormat="1" applyFont="1" applyFill="1" applyBorder="1" applyAlignment="1">
      <alignment horizontal="right" vertical="center" wrapText="1"/>
    </xf>
    <xf numFmtId="0" fontId="68" fillId="0" borderId="46" xfId="0" applyFont="1" applyFill="1" applyBorder="1" applyAlignment="1">
      <alignment horizontal="center" vertical="center" wrapText="1"/>
    </xf>
    <xf numFmtId="0" fontId="68" fillId="0" borderId="47" xfId="0" applyFont="1" applyFill="1" applyBorder="1" applyAlignment="1">
      <alignment horizontal="center" vertical="center" wrapText="1"/>
    </xf>
    <xf numFmtId="0" fontId="68" fillId="0" borderId="46" xfId="0" applyFont="1" applyFill="1" applyBorder="1" applyAlignment="1">
      <alignment vertical="center"/>
    </xf>
    <xf numFmtId="0" fontId="68" fillId="0" borderId="47" xfId="0" applyFont="1" applyFill="1" applyBorder="1" applyAlignment="1">
      <alignment vertical="center"/>
    </xf>
    <xf numFmtId="0" fontId="68" fillId="31" borderId="46" xfId="0" applyFont="1" applyFill="1" applyBorder="1" applyAlignment="1">
      <alignment vertical="center"/>
    </xf>
    <xf numFmtId="0" fontId="68" fillId="31" borderId="47" xfId="0" applyFont="1" applyFill="1" applyBorder="1" applyAlignment="1">
      <alignment vertical="center"/>
    </xf>
    <xf numFmtId="0" fontId="19" fillId="0" borderId="12" xfId="0" applyNumberFormat="1" applyFont="1" applyFill="1" applyBorder="1" applyAlignment="1" applyProtection="1">
      <alignment vertical="center"/>
    </xf>
    <xf numFmtId="0" fontId="19" fillId="0" borderId="0" xfId="0" applyNumberFormat="1" applyFont="1" applyFill="1" applyBorder="1" applyAlignment="1" applyProtection="1">
      <alignment vertical="center"/>
    </xf>
    <xf numFmtId="0" fontId="19" fillId="0" borderId="13" xfId="0" applyNumberFormat="1" applyFont="1" applyFill="1" applyBorder="1" applyAlignment="1" applyProtection="1">
      <alignment vertical="center"/>
    </xf>
    <xf numFmtId="0" fontId="68" fillId="0" borderId="12" xfId="0" applyNumberFormat="1" applyFont="1" applyFill="1" applyBorder="1" applyAlignment="1" applyProtection="1">
      <alignment horizontal="left" vertical="center"/>
    </xf>
    <xf numFmtId="2" fontId="19" fillId="0" borderId="13" xfId="0" applyNumberFormat="1" applyFont="1" applyFill="1" applyBorder="1" applyAlignment="1" applyProtection="1">
      <alignment vertical="center" wrapText="1"/>
    </xf>
    <xf numFmtId="10" fontId="68" fillId="0" borderId="0" xfId="0" applyNumberFormat="1" applyFont="1" applyFill="1" applyBorder="1" applyAlignment="1" applyProtection="1">
      <alignment horizontal="right" vertical="center"/>
    </xf>
    <xf numFmtId="10" fontId="68" fillId="0" borderId="13"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4" fontId="68" fillId="0" borderId="0" xfId="0" applyNumberFormat="1" applyFont="1" applyFill="1" applyBorder="1" applyAlignment="1" applyProtection="1">
      <alignment horizontal="right" vertical="center"/>
    </xf>
    <xf numFmtId="49" fontId="68" fillId="0" borderId="13" xfId="0" applyNumberFormat="1" applyFont="1" applyFill="1" applyBorder="1" applyAlignment="1" applyProtection="1">
      <alignment horizontal="center" vertical="center"/>
    </xf>
    <xf numFmtId="0" fontId="68" fillId="0" borderId="48" xfId="0" applyNumberFormat="1" applyFont="1" applyFill="1" applyBorder="1" applyAlignment="1" applyProtection="1">
      <alignment vertical="center"/>
    </xf>
    <xf numFmtId="0" fontId="68" fillId="0" borderId="46" xfId="0" applyNumberFormat="1" applyFont="1" applyFill="1" applyBorder="1" applyAlignment="1" applyProtection="1">
      <alignment vertical="center"/>
    </xf>
    <xf numFmtId="0" fontId="19" fillId="0" borderId="46" xfId="0" applyNumberFormat="1" applyFont="1" applyFill="1" applyBorder="1" applyAlignment="1" applyProtection="1">
      <alignment vertical="center"/>
    </xf>
    <xf numFmtId="0" fontId="19" fillId="0" borderId="47" xfId="0" applyNumberFormat="1" applyFont="1" applyFill="1" applyBorder="1" applyAlignment="1" applyProtection="1">
      <alignment vertical="center"/>
    </xf>
    <xf numFmtId="0" fontId="68" fillId="34" borderId="36" xfId="0" applyNumberFormat="1" applyFont="1" applyFill="1" applyBorder="1" applyAlignment="1" applyProtection="1">
      <alignment horizontal="right" vertical="center" wrapText="1"/>
    </xf>
    <xf numFmtId="0" fontId="68" fillId="0" borderId="54" xfId="0" applyNumberFormat="1" applyFont="1" applyFill="1" applyBorder="1" applyAlignment="1" applyProtection="1">
      <alignment horizontal="right" vertical="center" wrapText="1"/>
    </xf>
    <xf numFmtId="167" fontId="68" fillId="0" borderId="43" xfId="0" applyNumberFormat="1" applyFont="1" applyFill="1" applyBorder="1" applyAlignment="1" applyProtection="1">
      <alignment horizontal="justify" vertical="center" wrapText="1"/>
    </xf>
    <xf numFmtId="167" fontId="68" fillId="0" borderId="55" xfId="0" applyNumberFormat="1" applyFont="1" applyFill="1" applyBorder="1" applyAlignment="1" applyProtection="1">
      <alignment horizontal="justify" vertical="center" wrapText="1"/>
    </xf>
    <xf numFmtId="0" fontId="68" fillId="0" borderId="54" xfId="0" applyNumberFormat="1" applyFont="1" applyFill="1" applyBorder="1" applyAlignment="1" applyProtection="1">
      <alignment horizontal="right" vertical="center"/>
    </xf>
    <xf numFmtId="0" fontId="68" fillId="0" borderId="43" xfId="0" applyNumberFormat="1" applyFont="1" applyFill="1" applyBorder="1" applyAlignment="1" applyProtection="1">
      <alignment horizontal="left" vertical="center"/>
    </xf>
    <xf numFmtId="0" fontId="68" fillId="0" borderId="55" xfId="0" applyNumberFormat="1" applyFont="1" applyFill="1" applyBorder="1" applyAlignment="1" applyProtection="1">
      <alignment horizontal="left" vertical="center"/>
    </xf>
    <xf numFmtId="0" fontId="68" fillId="42"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right" vertical="center"/>
    </xf>
    <xf numFmtId="167" fontId="68" fillId="0" borderId="43"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55" xfId="0" applyNumberFormat="1" applyFont="1" applyFill="1" applyBorder="1" applyAlignment="1" applyProtection="1">
      <alignment horizontal="center" vertical="center" wrapText="1"/>
    </xf>
    <xf numFmtId="0" fontId="68" fillId="42" borderId="24" xfId="0" applyNumberFormat="1" applyFont="1" applyFill="1" applyBorder="1" applyAlignment="1" applyProtection="1">
      <alignment horizontal="center" vertical="center" wrapText="1"/>
    </xf>
    <xf numFmtId="0" fontId="68" fillId="42" borderId="6"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2" fontId="19" fillId="0" borderId="24" xfId="0"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vertical="center" wrapText="1"/>
    </xf>
    <xf numFmtId="2" fontId="19" fillId="42" borderId="46" xfId="0" applyNumberFormat="1" applyFont="1" applyFill="1" applyBorder="1" applyAlignment="1" applyProtection="1">
      <alignment horizontal="center" vertical="center" wrapText="1"/>
    </xf>
    <xf numFmtId="2" fontId="19" fillId="42" borderId="47" xfId="0" applyNumberFormat="1" applyFont="1" applyFill="1" applyBorder="1" applyAlignment="1" applyProtection="1">
      <alignment horizontal="center" vertical="center" wrapText="1"/>
    </xf>
    <xf numFmtId="167" fontId="68" fillId="0" borderId="48" xfId="0" applyNumberFormat="1" applyFont="1" applyFill="1" applyBorder="1" applyAlignment="1" applyProtection="1">
      <alignment horizontal="right" vertical="center" wrapText="1"/>
    </xf>
    <xf numFmtId="167" fontId="68" fillId="0" borderId="46" xfId="0" applyNumberFormat="1" applyFont="1" applyFill="1" applyBorder="1" applyAlignment="1" applyProtection="1">
      <alignment horizontal="right" vertical="center" wrapText="1"/>
    </xf>
    <xf numFmtId="2" fontId="19" fillId="0" borderId="46" xfId="0" applyNumberFormat="1" applyFont="1" applyFill="1" applyBorder="1" applyAlignment="1" applyProtection="1">
      <alignment horizontal="center" vertical="center" wrapText="1"/>
    </xf>
    <xf numFmtId="2" fontId="19" fillId="0" borderId="47" xfId="0" applyNumberFormat="1" applyFont="1" applyFill="1" applyBorder="1" applyAlignment="1" applyProtection="1">
      <alignment horizontal="center" vertical="center" wrapText="1"/>
    </xf>
    <xf numFmtId="0" fontId="68" fillId="34" borderId="18" xfId="0" applyNumberFormat="1" applyFont="1" applyFill="1" applyBorder="1" applyAlignment="1" applyProtection="1">
      <alignment horizontal="right" vertical="center" wrapText="1"/>
    </xf>
    <xf numFmtId="0" fontId="68" fillId="42" borderId="31" xfId="0" applyNumberFormat="1" applyFont="1" applyFill="1" applyBorder="1" applyAlignment="1" applyProtection="1">
      <alignment horizontal="center" vertical="center" wrapText="1"/>
    </xf>
    <xf numFmtId="0" fontId="68" fillId="42" borderId="8" xfId="0" applyNumberFormat="1" applyFont="1" applyFill="1" applyBorder="1" applyAlignment="1" applyProtection="1">
      <alignment horizontal="center" vertical="center" wrapText="1"/>
    </xf>
    <xf numFmtId="167" fontId="19" fillId="0" borderId="24" xfId="0" quotePrefix="1" applyNumberFormat="1" applyFont="1" applyFill="1" applyBorder="1" applyAlignment="1" applyProtection="1">
      <alignment horizontal="center" vertical="center" wrapText="1"/>
    </xf>
    <xf numFmtId="167" fontId="19" fillId="0" borderId="6" xfId="0" applyNumberFormat="1" applyFont="1" applyFill="1" applyBorder="1" applyAlignment="1" applyProtection="1">
      <alignment vertical="center" wrapText="1"/>
    </xf>
    <xf numFmtId="0" fontId="19" fillId="0" borderId="24" xfId="0" quotePrefix="1" applyNumberFormat="1" applyFont="1" applyFill="1" applyBorder="1" applyAlignment="1" applyProtection="1">
      <alignment horizontal="center" vertical="center" wrapText="1"/>
    </xf>
    <xf numFmtId="2" fontId="19" fillId="0" borderId="6" xfId="0" applyNumberFormat="1" applyFont="1" applyFill="1" applyBorder="1" applyAlignment="1" applyProtection="1">
      <alignment vertical="center"/>
    </xf>
    <xf numFmtId="0" fontId="19" fillId="42" borderId="48" xfId="0" applyNumberFormat="1" applyFont="1" applyFill="1" applyBorder="1" applyAlignment="1" applyProtection="1">
      <alignment vertical="center" wrapText="1"/>
    </xf>
    <xf numFmtId="0" fontId="68" fillId="42" borderId="46" xfId="0" applyNumberFormat="1" applyFont="1" applyFill="1" applyBorder="1" applyAlignment="1" applyProtection="1">
      <alignment horizontal="center" vertical="center"/>
    </xf>
    <xf numFmtId="167" fontId="68" fillId="42" borderId="46" xfId="0" quotePrefix="1" applyNumberFormat="1" applyFont="1" applyFill="1" applyBorder="1" applyAlignment="1" applyProtection="1">
      <alignment horizontal="center" vertical="center" wrapText="1"/>
    </xf>
    <xf numFmtId="167" fontId="68" fillId="42" borderId="14" xfId="0" applyNumberFormat="1" applyFont="1" applyFill="1" applyBorder="1" applyAlignment="1" applyProtection="1">
      <alignment horizontal="right" vertical="center" wrapText="1"/>
    </xf>
    <xf numFmtId="167" fontId="19" fillId="42" borderId="40" xfId="0" applyNumberFormat="1" applyFont="1" applyFill="1" applyBorder="1" applyAlignment="1" applyProtection="1">
      <alignment vertical="center" wrapText="1"/>
    </xf>
    <xf numFmtId="167" fontId="19" fillId="42" borderId="57" xfId="0" applyNumberFormat="1" applyFont="1" applyFill="1" applyBorder="1" applyAlignment="1" applyProtection="1">
      <alignment vertical="center" wrapText="1"/>
    </xf>
    <xf numFmtId="167" fontId="19" fillId="42" borderId="58" xfId="0" applyNumberFormat="1" applyFont="1" applyFill="1" applyBorder="1" applyAlignment="1" applyProtection="1">
      <alignment vertical="center" wrapText="1"/>
    </xf>
    <xf numFmtId="0" fontId="68" fillId="0" borderId="12" xfId="0" applyNumberFormat="1" applyFont="1" applyFill="1" applyBorder="1" applyAlignment="1" applyProtection="1">
      <alignment horizontal="right" vertical="center"/>
    </xf>
    <xf numFmtId="0" fontId="68" fillId="0" borderId="0" xfId="0" applyNumberFormat="1" applyFont="1" applyFill="1" applyBorder="1" applyAlignment="1" applyProtection="1">
      <alignment horizontal="right" vertical="center"/>
    </xf>
    <xf numFmtId="167" fontId="68" fillId="0" borderId="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2" fontId="80" fillId="0" borderId="24" xfId="0" applyNumberFormat="1" applyFont="1" applyFill="1" applyBorder="1" applyAlignment="1" applyProtection="1">
      <alignment horizontal="center"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center" vertical="center"/>
    </xf>
    <xf numFmtId="0" fontId="19" fillId="42" borderId="12" xfId="0" applyNumberFormat="1" applyFont="1" applyFill="1" applyBorder="1" applyAlignment="1" applyProtection="1">
      <alignment vertical="center" wrapText="1"/>
    </xf>
    <xf numFmtId="0" fontId="68" fillId="42" borderId="0" xfId="0" applyNumberFormat="1" applyFont="1" applyFill="1" applyBorder="1" applyAlignment="1" applyProtection="1">
      <alignment horizontal="center" vertical="center"/>
    </xf>
    <xf numFmtId="167" fontId="68" fillId="42" borderId="0" xfId="0" quotePrefix="1" applyNumberFormat="1" applyFont="1" applyFill="1" applyBorder="1" applyAlignment="1" applyProtection="1">
      <alignment horizontal="center" vertical="center" wrapText="1"/>
    </xf>
    <xf numFmtId="167" fontId="68" fillId="42" borderId="9" xfId="0" applyNumberFormat="1" applyFont="1" applyFill="1" applyBorder="1" applyAlignment="1" applyProtection="1">
      <alignment horizontal="center" vertical="center" wrapText="1"/>
    </xf>
    <xf numFmtId="167" fontId="19" fillId="42" borderId="1" xfId="0" applyNumberFormat="1" applyFont="1" applyFill="1" applyBorder="1" applyAlignment="1" applyProtection="1">
      <alignment vertical="center" wrapText="1"/>
    </xf>
    <xf numFmtId="167" fontId="19" fillId="42" borderId="92" xfId="0" applyNumberFormat="1" applyFont="1" applyFill="1" applyBorder="1" applyAlignment="1" applyProtection="1">
      <alignment vertical="center" wrapText="1"/>
    </xf>
    <xf numFmtId="167" fontId="19" fillId="42" borderId="30" xfId="0" applyNumberFormat="1" applyFont="1" applyFill="1" applyBorder="1" applyAlignment="1" applyProtection="1">
      <alignment vertical="center" wrapText="1"/>
    </xf>
    <xf numFmtId="0" fontId="19" fillId="0" borderId="26" xfId="0" applyNumberFormat="1" applyFont="1" applyFill="1" applyBorder="1" applyAlignment="1" applyProtection="1">
      <alignment vertical="center" wrapText="1"/>
    </xf>
    <xf numFmtId="0" fontId="68" fillId="0" borderId="34" xfId="0" applyNumberFormat="1" applyFont="1" applyFill="1" applyBorder="1" applyAlignment="1" applyProtection="1">
      <alignment horizontal="center" vertical="center"/>
    </xf>
    <xf numFmtId="167" fontId="68" fillId="0" borderId="34" xfId="0" applyNumberFormat="1" applyFont="1" applyFill="1" applyBorder="1" applyAlignment="1" applyProtection="1">
      <alignment horizontal="center" vertical="center" wrapText="1"/>
    </xf>
    <xf numFmtId="167" fontId="68" fillId="0" borderId="34" xfId="0" applyNumberFormat="1" applyFont="1" applyFill="1" applyBorder="1" applyAlignment="1" applyProtection="1">
      <alignment horizontal="right" vertical="center" wrapText="1"/>
    </xf>
    <xf numFmtId="167" fontId="19" fillId="0" borderId="34" xfId="0" applyNumberFormat="1" applyFont="1" applyFill="1" applyBorder="1" applyAlignment="1" applyProtection="1">
      <alignment horizontal="center" vertical="center" wrapText="1"/>
    </xf>
    <xf numFmtId="167" fontId="19" fillId="0" borderId="28"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vertical="center" wrapText="1"/>
    </xf>
    <xf numFmtId="167" fontId="68" fillId="0" borderId="0" xfId="0" applyNumberFormat="1" applyFont="1" applyFill="1" applyBorder="1" applyAlignment="1" applyProtection="1">
      <alignment horizontal="right" vertical="center" wrapText="1"/>
    </xf>
    <xf numFmtId="167" fontId="19" fillId="0" borderId="0"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0" fontId="91" fillId="0" borderId="12"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xf>
    <xf numFmtId="0" fontId="91" fillId="0" borderId="13" xfId="0" applyNumberFormat="1" applyFont="1" applyFill="1" applyBorder="1" applyAlignment="1" applyProtection="1">
      <alignment vertical="center"/>
    </xf>
    <xf numFmtId="0" fontId="68" fillId="42" borderId="16" xfId="0" applyNumberFormat="1" applyFont="1" applyFill="1" applyBorder="1" applyAlignment="1" applyProtection="1">
      <alignment horizontal="center" vertical="center" wrapText="1"/>
    </xf>
    <xf numFmtId="167" fontId="19" fillId="0" borderId="24" xfId="0" applyNumberFormat="1" applyFont="1" applyFill="1" applyBorder="1" applyAlignment="1" applyProtection="1">
      <alignment horizontal="center" vertical="center" wrapText="1"/>
    </xf>
    <xf numFmtId="167" fontId="19" fillId="0" borderId="6" xfId="0" quotePrefix="1" applyNumberFormat="1" applyFont="1" applyFill="1" applyBorder="1" applyAlignment="1" applyProtection="1">
      <alignment horizontal="center" vertical="center" wrapText="1"/>
    </xf>
    <xf numFmtId="167" fontId="68" fillId="0" borderId="16" xfId="0" applyNumberFormat="1" applyFont="1" applyFill="1" applyBorder="1" applyAlignment="1" applyProtection="1">
      <alignment horizontal="center" vertical="center" wrapText="1"/>
    </xf>
    <xf numFmtId="167" fontId="19" fillId="0" borderId="16"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68" fillId="42" borderId="16" xfId="0" applyNumberFormat="1" applyFont="1" applyFill="1" applyBorder="1" applyAlignment="1" applyProtection="1">
      <alignment horizontal="right" vertical="center" wrapText="1"/>
    </xf>
    <xf numFmtId="0" fontId="68" fillId="0" borderId="16" xfId="0" applyNumberFormat="1" applyFont="1" applyFill="1" applyBorder="1" applyAlignment="1" applyProtection="1">
      <alignment horizontal="right" vertical="center" wrapText="1"/>
    </xf>
    <xf numFmtId="167" fontId="68" fillId="0" borderId="16" xfId="0" applyNumberFormat="1" applyFont="1" applyFill="1" applyBorder="1" applyAlignment="1" applyProtection="1">
      <alignment horizontal="right" vertical="center" wrapText="1"/>
    </xf>
    <xf numFmtId="167" fontId="68" fillId="42" borderId="16" xfId="0" applyNumberFormat="1" applyFont="1" applyFill="1" applyBorder="1" applyAlignment="1" applyProtection="1">
      <alignment vertical="center" wrapText="1"/>
    </xf>
    <xf numFmtId="167" fontId="68" fillId="42" borderId="19"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right" vertical="center" wrapText="1"/>
    </xf>
    <xf numFmtId="167" fontId="68" fillId="0" borderId="13" xfId="0" applyNumberFormat="1" applyFont="1" applyFill="1" applyBorder="1" applyAlignment="1" applyProtection="1">
      <alignment horizontal="center" vertical="center" wrapText="1"/>
    </xf>
    <xf numFmtId="0" fontId="68" fillId="42" borderId="42" xfId="0" applyNumberFormat="1" applyFont="1" applyFill="1" applyBorder="1" applyAlignment="1" applyProtection="1">
      <alignment horizontal="right" vertical="center" wrapText="1"/>
    </xf>
    <xf numFmtId="2" fontId="68" fillId="42" borderId="42" xfId="0" applyNumberFormat="1" applyFont="1" applyFill="1" applyBorder="1" applyAlignment="1" applyProtection="1">
      <alignment horizontal="center" vertical="center" wrapText="1"/>
    </xf>
    <xf numFmtId="0" fontId="19" fillId="0" borderId="48" xfId="0" applyNumberFormat="1" applyFont="1" applyFill="1" applyBorder="1" applyAlignment="1" applyProtection="1">
      <alignment horizontal="center" vertical="center" wrapText="1"/>
    </xf>
    <xf numFmtId="0" fontId="19" fillId="0" borderId="46"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right" vertical="center" wrapText="1"/>
    </xf>
    <xf numFmtId="2" fontId="68" fillId="0" borderId="46" xfId="0" applyNumberFormat="1" applyFont="1" applyFill="1" applyBorder="1" applyAlignment="1" applyProtection="1">
      <alignment horizontal="center" vertical="center" wrapText="1"/>
    </xf>
    <xf numFmtId="167" fontId="68" fillId="0" borderId="46" xfId="0" applyNumberFormat="1" applyFont="1" applyFill="1" applyBorder="1" applyAlignment="1" applyProtection="1">
      <alignment horizontal="center" vertical="center" wrapText="1"/>
    </xf>
    <xf numFmtId="167" fontId="68" fillId="0" borderId="47" xfId="0" applyNumberFormat="1" applyFont="1" applyFill="1" applyBorder="1" applyAlignment="1" applyProtection="1">
      <alignment horizontal="center" vertical="center" wrapText="1"/>
    </xf>
    <xf numFmtId="0" fontId="19" fillId="0" borderId="24" xfId="0" applyNumberFormat="1" applyFont="1" applyFill="1" applyBorder="1" applyAlignment="1" applyProtection="1">
      <alignment horizontal="center" vertical="center" wrapText="1"/>
    </xf>
    <xf numFmtId="0" fontId="19" fillId="0" borderId="6"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vertical="center" wrapText="1"/>
    </xf>
    <xf numFmtId="0" fontId="19" fillId="0" borderId="92" xfId="0" applyNumberFormat="1" applyFont="1" applyFill="1" applyBorder="1" applyAlignment="1" applyProtection="1">
      <alignment vertical="center" wrapText="1"/>
    </xf>
    <xf numFmtId="0" fontId="19" fillId="0" borderId="93" xfId="0" applyNumberFormat="1" applyFont="1" applyFill="1" applyBorder="1" applyAlignment="1" applyProtection="1">
      <alignment vertical="center" wrapText="1"/>
    </xf>
    <xf numFmtId="0" fontId="68" fillId="0" borderId="26" xfId="0" applyNumberFormat="1" applyFont="1" applyFill="1" applyBorder="1" applyAlignment="1" applyProtection="1">
      <alignment vertical="center" wrapText="1"/>
    </xf>
    <xf numFmtId="0" fontId="68" fillId="0" borderId="34" xfId="0" applyNumberFormat="1" applyFont="1" applyFill="1" applyBorder="1" applyAlignment="1" applyProtection="1">
      <alignment vertical="center" wrapText="1"/>
    </xf>
    <xf numFmtId="0" fontId="68" fillId="0" borderId="34" xfId="0" applyNumberFormat="1" applyFont="1" applyFill="1" applyBorder="1" applyAlignment="1" applyProtection="1">
      <alignment horizontal="right" vertical="center" wrapText="1"/>
    </xf>
    <xf numFmtId="167" fontId="68" fillId="0" borderId="28"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horizontal="center" vertical="center" wrapText="1"/>
    </xf>
    <xf numFmtId="167" fontId="68" fillId="0" borderId="12" xfId="0" applyNumberFormat="1" applyFont="1" applyFill="1" applyBorder="1" applyAlignment="1" applyProtection="1">
      <alignment horizontal="center" vertical="center" wrapText="1"/>
    </xf>
    <xf numFmtId="167" fontId="19" fillId="0" borderId="9" xfId="0"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42" borderId="73" xfId="0" applyNumberFormat="1" applyFont="1" applyFill="1" applyBorder="1" applyAlignment="1" applyProtection="1">
      <alignment horizontal="center" vertical="center" wrapText="1"/>
    </xf>
    <xf numFmtId="167" fontId="19" fillId="42" borderId="57" xfId="0" applyNumberFormat="1" applyFont="1" applyFill="1" applyBorder="1" applyAlignment="1" applyProtection="1">
      <alignment horizontal="center" vertical="center" wrapText="1"/>
    </xf>
    <xf numFmtId="167" fontId="68" fillId="42" borderId="57" xfId="0" quotePrefix="1" applyNumberFormat="1" applyFont="1" applyFill="1" applyBorder="1" applyAlignment="1" applyProtection="1">
      <alignment horizontal="center" vertical="center" wrapText="1"/>
    </xf>
    <xf numFmtId="167" fontId="68" fillId="42" borderId="57" xfId="0" applyNumberFormat="1" applyFont="1" applyFill="1" applyBorder="1" applyAlignment="1" applyProtection="1">
      <alignment horizontal="center" vertical="center" wrapText="1"/>
    </xf>
    <xf numFmtId="0" fontId="68" fillId="0" borderId="26" xfId="0" applyNumberFormat="1" applyFont="1" applyFill="1" applyBorder="1" applyAlignment="1" applyProtection="1">
      <alignment horizontal="right" vertical="center" wrapText="1"/>
    </xf>
    <xf numFmtId="0" fontId="68" fillId="0" borderId="34" xfId="0" applyNumberFormat="1" applyFont="1" applyFill="1" applyBorder="1" applyAlignment="1" applyProtection="1">
      <alignment horizontal="left" vertical="center"/>
    </xf>
    <xf numFmtId="0" fontId="68" fillId="0" borderId="28" xfId="0" applyNumberFormat="1" applyFont="1" applyFill="1" applyBorder="1" applyAlignment="1" applyProtection="1">
      <alignment horizontal="left" vertical="center"/>
    </xf>
    <xf numFmtId="0" fontId="68" fillId="0" borderId="12"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left" vertical="center" wrapText="1"/>
    </xf>
    <xf numFmtId="167" fontId="19" fillId="0" borderId="6" xfId="0" applyNumberFormat="1" applyFont="1" applyFill="1" applyBorder="1" applyAlignment="1" applyProtection="1">
      <alignment horizontal="right" vertical="center" wrapText="1"/>
    </xf>
    <xf numFmtId="0" fontId="19" fillId="0" borderId="99" xfId="0" applyNumberFormat="1" applyFont="1" applyFill="1" applyBorder="1" applyAlignment="1" applyProtection="1">
      <alignment horizontal="center" vertical="center" wrapText="1"/>
    </xf>
    <xf numFmtId="0" fontId="19" fillId="42" borderId="40" xfId="0" applyNumberFormat="1" applyFont="1" applyFill="1" applyBorder="1" applyAlignment="1" applyProtection="1">
      <alignment vertical="center" wrapText="1"/>
    </xf>
    <xf numFmtId="0" fontId="19" fillId="42" borderId="58" xfId="0" applyNumberFormat="1" applyFont="1" applyFill="1" applyBorder="1" applyAlignment="1" applyProtection="1">
      <alignment vertical="center" wrapText="1"/>
    </xf>
    <xf numFmtId="2" fontId="19" fillId="0" borderId="23" xfId="0" applyNumberFormat="1" applyFont="1" applyFill="1" applyBorder="1" applyAlignment="1" applyProtection="1">
      <alignment horizontal="center" vertical="center" wrapText="1"/>
    </xf>
    <xf numFmtId="2" fontId="19" fillId="0" borderId="14" xfId="0" applyNumberFormat="1" applyFont="1" applyFill="1" applyBorder="1" applyAlignment="1" applyProtection="1">
      <alignment horizontal="center" vertical="center" wrapText="1"/>
    </xf>
    <xf numFmtId="2" fontId="19" fillId="0" borderId="42" xfId="0" applyNumberFormat="1" applyFont="1" applyFill="1" applyBorder="1" applyAlignment="1" applyProtection="1">
      <alignment vertical="center" wrapText="1"/>
    </xf>
    <xf numFmtId="0" fontId="68" fillId="42" borderId="40" xfId="0" applyNumberFormat="1" applyFont="1" applyFill="1" applyBorder="1" applyAlignment="1" applyProtection="1">
      <alignment vertical="center" wrapText="1"/>
    </xf>
    <xf numFmtId="0" fontId="68" fillId="42" borderId="58" xfId="0" applyNumberFormat="1" applyFont="1" applyFill="1" applyBorder="1" applyAlignment="1" applyProtection="1">
      <alignment vertical="center" wrapText="1"/>
    </xf>
    <xf numFmtId="167" fontId="19" fillId="0" borderId="10" xfId="0" applyNumberFormat="1" applyFont="1" applyFill="1" applyBorder="1" applyAlignment="1" applyProtection="1">
      <alignment horizontal="center" vertical="center" wrapText="1"/>
    </xf>
    <xf numFmtId="167" fontId="19" fillId="0" borderId="32" xfId="0" quotePrefix="1"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9" xfId="0" quotePrefix="1" applyNumberFormat="1" applyFont="1" applyFill="1" applyBorder="1" applyAlignment="1" applyProtection="1">
      <alignment horizontal="center" vertical="center" wrapText="1"/>
    </xf>
    <xf numFmtId="167" fontId="68" fillId="0" borderId="35" xfId="0" applyNumberFormat="1" applyFont="1" applyFill="1" applyBorder="1" applyAlignment="1" applyProtection="1">
      <alignment horizontal="center" vertical="center" wrapText="1"/>
    </xf>
    <xf numFmtId="167" fontId="68" fillId="42" borderId="1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vertical="center" wrapText="1"/>
    </xf>
    <xf numFmtId="167" fontId="68" fillId="42" borderId="19" xfId="0" applyNumberFormat="1" applyFont="1" applyFill="1" applyBorder="1" applyAlignment="1" applyProtection="1">
      <alignment horizontal="center" vertical="center" wrapText="1"/>
    </xf>
    <xf numFmtId="0" fontId="68" fillId="35" borderId="36" xfId="0" applyNumberFormat="1" applyFont="1" applyFill="1" applyBorder="1" applyAlignment="1" applyProtection="1">
      <alignment horizontal="right" vertical="center" wrapText="1"/>
    </xf>
    <xf numFmtId="167" fontId="19" fillId="43" borderId="24" xfId="0" quotePrefix="1" applyNumberFormat="1" applyFont="1" applyFill="1" applyBorder="1" applyAlignment="1" applyProtection="1">
      <alignment horizontal="center" vertical="center" wrapText="1"/>
    </xf>
    <xf numFmtId="167" fontId="19" fillId="43" borderId="6" xfId="0" applyNumberFormat="1" applyFont="1" applyFill="1" applyBorder="1" applyAlignment="1" applyProtection="1">
      <alignment horizontal="center" vertical="center" wrapText="1"/>
    </xf>
    <xf numFmtId="167" fontId="68" fillId="43" borderId="16" xfId="0" applyNumberFormat="1" applyFont="1" applyFill="1" applyBorder="1" applyAlignment="1" applyProtection="1">
      <alignment horizontal="center" vertical="center" wrapText="1"/>
    </xf>
    <xf numFmtId="167" fontId="19" fillId="43" borderId="10" xfId="0" applyNumberFormat="1" applyFont="1" applyFill="1" applyBorder="1" applyAlignment="1" applyProtection="1">
      <alignment horizontal="center" vertical="center" wrapText="1"/>
    </xf>
    <xf numFmtId="167" fontId="19" fillId="43" borderId="6" xfId="0" quotePrefix="1" applyNumberFormat="1" applyFont="1" applyFill="1" applyBorder="1" applyAlignment="1" applyProtection="1">
      <alignment horizontal="center" vertical="center" wrapText="1"/>
    </xf>
    <xf numFmtId="167" fontId="19" fillId="43" borderId="32" xfId="0" quotePrefix="1" applyNumberFormat="1" applyFont="1" applyFill="1" applyBorder="1" applyAlignment="1" applyProtection="1">
      <alignment horizontal="center" vertical="center" wrapText="1"/>
    </xf>
    <xf numFmtId="167" fontId="19" fillId="43" borderId="101" xfId="0" applyNumberFormat="1" applyFont="1" applyFill="1" applyBorder="1" applyAlignment="1" applyProtection="1">
      <alignment horizontal="center" vertical="center" wrapText="1"/>
    </xf>
    <xf numFmtId="167" fontId="19" fillId="43" borderId="9" xfId="0" applyNumberFormat="1" applyFont="1" applyFill="1" applyBorder="1" applyAlignment="1" applyProtection="1">
      <alignment horizontal="center" vertical="center" wrapText="1"/>
    </xf>
    <xf numFmtId="167" fontId="19" fillId="43" borderId="9" xfId="0" quotePrefix="1" applyNumberFormat="1" applyFont="1" applyFill="1" applyBorder="1" applyAlignment="1" applyProtection="1">
      <alignment horizontal="center" vertical="center" wrapText="1"/>
    </xf>
    <xf numFmtId="167" fontId="68" fillId="43" borderId="35" xfId="0" applyNumberFormat="1" applyFont="1" applyFill="1" applyBorder="1" applyAlignment="1" applyProtection="1">
      <alignment horizontal="center" vertical="center" wrapText="1"/>
    </xf>
    <xf numFmtId="167" fontId="19" fillId="43" borderId="95" xfId="0" applyNumberFormat="1" applyFont="1" applyFill="1" applyBorder="1" applyAlignment="1" applyProtection="1">
      <alignment horizontal="center" vertical="center" wrapText="1"/>
    </xf>
    <xf numFmtId="0" fontId="68" fillId="43" borderId="16" xfId="0" applyNumberFormat="1" applyFont="1" applyFill="1" applyBorder="1" applyAlignment="1" applyProtection="1">
      <alignment vertical="center" wrapText="1"/>
    </xf>
    <xf numFmtId="0" fontId="68" fillId="0" borderId="5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xf>
    <xf numFmtId="167" fontId="68" fillId="42" borderId="29" xfId="0" applyNumberFormat="1" applyFont="1" applyFill="1" applyBorder="1" applyAlignment="1" applyProtection="1">
      <alignment horizontal="right" vertical="center" wrapText="1"/>
    </xf>
    <xf numFmtId="167" fontId="68" fillId="42" borderId="92" xfId="0" applyNumberFormat="1" applyFont="1" applyFill="1" applyBorder="1" applyAlignment="1" applyProtection="1">
      <alignment horizontal="right" vertical="center" wrapText="1"/>
    </xf>
    <xf numFmtId="167" fontId="68" fillId="42" borderId="93" xfId="0" applyNumberFormat="1" applyFont="1" applyFill="1" applyBorder="1" applyAlignment="1" applyProtection="1">
      <alignment horizontal="center" vertical="center" wrapText="1"/>
    </xf>
    <xf numFmtId="0" fontId="68" fillId="0" borderId="48" xfId="0" applyNumberFormat="1" applyFont="1" applyFill="1" applyBorder="1" applyAlignment="1" applyProtection="1">
      <alignment vertical="center" wrapText="1"/>
    </xf>
    <xf numFmtId="0" fontId="68" fillId="0" borderId="46" xfId="0" applyNumberFormat="1" applyFont="1" applyFill="1" applyBorder="1" applyAlignment="1" applyProtection="1">
      <alignment vertical="center" wrapText="1"/>
    </xf>
    <xf numFmtId="167" fontId="68" fillId="0" borderId="47" xfId="0" applyNumberFormat="1" applyFont="1" applyFill="1" applyBorder="1" applyAlignment="1" applyProtection="1">
      <alignment horizontal="right" vertical="center" wrapText="1"/>
    </xf>
    <xf numFmtId="167" fontId="19" fillId="0" borderId="48" xfId="0" applyNumberFormat="1" applyFont="1" applyFill="1" applyBorder="1" applyAlignment="1" applyProtection="1">
      <alignment horizontal="center" vertical="center" wrapText="1"/>
    </xf>
    <xf numFmtId="167" fontId="19" fillId="0" borderId="46" xfId="0" applyNumberFormat="1" applyFont="1" applyFill="1" applyBorder="1" applyAlignment="1" applyProtection="1">
      <alignment horizontal="center" vertical="center" wrapText="1"/>
    </xf>
    <xf numFmtId="167" fontId="19" fillId="0" borderId="4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vertical="center" wrapText="1"/>
    </xf>
    <xf numFmtId="167" fontId="68" fillId="0" borderId="13" xfId="0" applyNumberFormat="1" applyFont="1" applyFill="1" applyBorder="1" applyAlignment="1" applyProtection="1">
      <alignment horizontal="right" vertical="center" wrapText="1"/>
    </xf>
    <xf numFmtId="0" fontId="68" fillId="0" borderId="12" xfId="0" applyNumberFormat="1" applyFont="1" applyFill="1" applyBorder="1" applyAlignment="1" applyProtection="1">
      <alignment horizontal="right" vertical="center" wrapText="1"/>
    </xf>
    <xf numFmtId="0" fontId="68" fillId="0" borderId="13" xfId="0" applyNumberFormat="1" applyFont="1" applyFill="1" applyBorder="1" applyAlignment="1" applyProtection="1">
      <alignment horizontal="center" vertical="center" wrapText="1"/>
    </xf>
    <xf numFmtId="0" fontId="68" fillId="42" borderId="57" xfId="0" applyNumberFormat="1" applyFont="1" applyFill="1" applyBorder="1" applyAlignment="1" applyProtection="1">
      <alignment vertical="center" wrapText="1"/>
    </xf>
    <xf numFmtId="167" fontId="68" fillId="42" borderId="92" xfId="0" quotePrefix="1" applyNumberFormat="1" applyFont="1" applyFill="1" applyBorder="1" applyAlignment="1" applyProtection="1">
      <alignment horizontal="right" vertical="center" wrapText="1"/>
    </xf>
    <xf numFmtId="167" fontId="68" fillId="42" borderId="57" xfId="0" quotePrefix="1" applyNumberFormat="1" applyFont="1" applyFill="1" applyBorder="1" applyAlignment="1" applyProtection="1">
      <alignment horizontal="right" vertical="center" wrapText="1"/>
    </xf>
    <xf numFmtId="2" fontId="19" fillId="0" borderId="29"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167" fontId="68" fillId="0" borderId="34" xfId="0" applyNumberFormat="1" applyFont="1" applyFill="1" applyBorder="1" applyAlignment="1" applyProtection="1">
      <alignment horizontal="justify" vertical="center" wrapText="1"/>
    </xf>
    <xf numFmtId="167" fontId="68" fillId="0" borderId="28" xfId="0" applyNumberFormat="1" applyFont="1" applyFill="1" applyBorder="1" applyAlignment="1" applyProtection="1">
      <alignment horizontal="justify" vertical="center" wrapText="1"/>
    </xf>
    <xf numFmtId="167" fontId="19" fillId="0" borderId="12" xfId="0" applyNumberFormat="1" applyFont="1" applyFill="1" applyBorder="1" applyAlignment="1" applyProtection="1">
      <alignment horizontal="center" vertical="center" wrapText="1"/>
    </xf>
    <xf numFmtId="167" fontId="68" fillId="42" borderId="42" xfId="0" applyNumberFormat="1" applyFont="1" applyFill="1" applyBorder="1" applyAlignment="1" applyProtection="1">
      <alignment horizontal="center" vertical="center" wrapText="1"/>
    </xf>
    <xf numFmtId="0" fontId="68" fillId="42" borderId="24"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center" vertical="center"/>
    </xf>
    <xf numFmtId="0" fontId="19" fillId="0" borderId="6" xfId="0" applyNumberFormat="1" applyFont="1" applyFill="1" applyBorder="1" applyAlignment="1" applyProtection="1">
      <alignment horizontal="center" vertical="center"/>
    </xf>
    <xf numFmtId="0" fontId="68" fillId="42" borderId="73" xfId="0" quotePrefix="1" applyNumberFormat="1" applyFont="1" applyFill="1" applyBorder="1" applyAlignment="1" applyProtection="1">
      <alignment horizontal="right" vertical="center" wrapText="1"/>
    </xf>
    <xf numFmtId="0" fontId="19" fillId="0" borderId="62" xfId="0" applyNumberFormat="1" applyFont="1" applyFill="1" applyBorder="1" applyAlignment="1" applyProtection="1">
      <alignment horizontal="center" vertical="center"/>
    </xf>
    <xf numFmtId="0" fontId="19" fillId="0" borderId="0"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24" xfId="0" applyNumberFormat="1" applyFont="1" applyFill="1" applyBorder="1" applyAlignment="1" applyProtection="1">
      <alignment horizontal="left" vertical="center" wrapText="1"/>
    </xf>
    <xf numFmtId="0" fontId="19" fillId="0" borderId="62" xfId="0" applyNumberFormat="1" applyFont="1" applyFill="1" applyBorder="1" applyAlignment="1" applyProtection="1">
      <alignment vertical="center"/>
    </xf>
    <xf numFmtId="0" fontId="94" fillId="42" borderId="95" xfId="0" applyNumberFormat="1" applyFont="1" applyFill="1" applyBorder="1" applyAlignment="1" applyProtection="1">
      <alignment vertical="center"/>
    </xf>
    <xf numFmtId="0" fontId="94" fillId="42" borderId="33" xfId="0" applyNumberFormat="1" applyFont="1" applyFill="1" applyBorder="1" applyAlignment="1" applyProtection="1">
      <alignment vertical="center"/>
    </xf>
    <xf numFmtId="0" fontId="68" fillId="42" borderId="94" xfId="0" applyNumberFormat="1" applyFont="1" applyFill="1" applyBorder="1" applyAlignment="1" applyProtection="1">
      <alignment horizontal="center" vertical="center"/>
    </xf>
    <xf numFmtId="0" fontId="19" fillId="0" borderId="94"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vertical="center"/>
    </xf>
    <xf numFmtId="0" fontId="19" fillId="0" borderId="93" xfId="0" applyNumberFormat="1" applyFont="1" applyFill="1" applyBorder="1" applyAlignment="1" applyProtection="1">
      <alignment vertical="center"/>
    </xf>
    <xf numFmtId="0" fontId="19" fillId="0" borderId="99" xfId="0" applyNumberFormat="1" applyFont="1" applyFill="1" applyBorder="1" applyAlignment="1" applyProtection="1">
      <alignment horizontal="center" vertical="center"/>
    </xf>
    <xf numFmtId="0" fontId="19" fillId="0" borderId="29"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vertical="center"/>
    </xf>
    <xf numFmtId="0" fontId="19" fillId="0" borderId="9" xfId="0" applyNumberFormat="1" applyFont="1" applyFill="1" applyBorder="1" applyAlignment="1" applyProtection="1">
      <alignment horizontal="center" vertical="center"/>
    </xf>
    <xf numFmtId="0" fontId="19" fillId="0" borderId="34" xfId="0" applyNumberFormat="1" applyFont="1" applyFill="1" applyBorder="1" applyAlignment="1" applyProtection="1">
      <alignment vertical="center"/>
    </xf>
    <xf numFmtId="0" fontId="68" fillId="42" borderId="23" xfId="0" quotePrefix="1" applyNumberFormat="1" applyFont="1" applyFill="1" applyBorder="1" applyAlignment="1" applyProtection="1">
      <alignment horizontal="right" vertical="center" wrapText="1"/>
    </xf>
    <xf numFmtId="0" fontId="19" fillId="0" borderId="26" xfId="0" applyNumberFormat="1" applyFont="1" applyFill="1" applyBorder="1" applyAlignment="1" applyProtection="1">
      <alignment vertical="center"/>
    </xf>
    <xf numFmtId="0" fontId="19" fillId="0" borderId="28" xfId="0" applyNumberFormat="1" applyFont="1" applyFill="1" applyBorder="1" applyAlignment="1" applyProtection="1">
      <alignment vertical="center"/>
    </xf>
    <xf numFmtId="0" fontId="68" fillId="42" borderId="94" xfId="0" applyNumberFormat="1" applyFont="1" applyFill="1" applyBorder="1" applyAlignment="1" applyProtection="1">
      <alignment vertical="center"/>
    </xf>
    <xf numFmtId="0" fontId="68" fillId="42" borderId="95" xfId="0" applyNumberFormat="1" applyFont="1" applyFill="1" applyBorder="1" applyAlignment="1" applyProtection="1">
      <alignment vertical="center"/>
    </xf>
    <xf numFmtId="2" fontId="19" fillId="0" borderId="6" xfId="0" applyNumberFormat="1" applyFont="1" applyFill="1" applyBorder="1" applyAlignment="1" applyProtection="1">
      <alignment horizontal="center" vertical="center"/>
    </xf>
    <xf numFmtId="0" fontId="68" fillId="42" borderId="24" xfId="0" quotePrefix="1" applyNumberFormat="1" applyFont="1" applyFill="1" applyBorder="1" applyAlignment="1" applyProtection="1">
      <alignment horizontal="right" vertical="center" wrapText="1"/>
    </xf>
    <xf numFmtId="167" fontId="68" fillId="42" borderId="6"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right" vertical="center" wrapText="1"/>
    </xf>
    <xf numFmtId="0" fontId="68" fillId="0" borderId="48" xfId="0" applyNumberFormat="1" applyFont="1" applyFill="1" applyBorder="1" applyAlignment="1" applyProtection="1">
      <alignment horizontal="right" vertical="center" wrapText="1"/>
    </xf>
    <xf numFmtId="0" fontId="68" fillId="0" borderId="46" xfId="0" applyNumberFormat="1" applyFont="1" applyFill="1" applyBorder="1" applyAlignment="1" applyProtection="1">
      <alignment horizontal="center" vertical="center" wrapText="1"/>
    </xf>
    <xf numFmtId="0" fontId="68" fillId="0" borderId="4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xf>
    <xf numFmtId="0" fontId="68" fillId="42" borderId="23" xfId="0" applyNumberFormat="1" applyFont="1" applyFill="1" applyBorder="1" applyAlignment="1" applyProtection="1">
      <alignment horizontal="right" vertical="center" wrapText="1"/>
    </xf>
    <xf numFmtId="2" fontId="68" fillId="0" borderId="0"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vertical="center" wrapText="1"/>
    </xf>
    <xf numFmtId="167" fontId="19" fillId="0" borderId="13" xfId="0" applyNumberFormat="1" applyFont="1" applyFill="1" applyBorder="1" applyAlignment="1" applyProtection="1">
      <alignment vertical="center" wrapText="1"/>
    </xf>
    <xf numFmtId="0" fontId="68" fillId="42" borderId="6" xfId="0" applyNumberFormat="1" applyFont="1" applyFill="1" applyBorder="1" applyAlignment="1" applyProtection="1">
      <alignment horizontal="right" vertical="center"/>
    </xf>
    <xf numFmtId="0" fontId="19" fillId="0" borderId="6" xfId="0" applyNumberFormat="1" applyFont="1" applyFill="1" applyBorder="1" applyAlignment="1" applyProtection="1">
      <alignment vertical="center"/>
    </xf>
    <xf numFmtId="2" fontId="68" fillId="0" borderId="6" xfId="0" applyNumberFormat="1" applyFont="1" applyFill="1" applyBorder="1" applyAlignment="1" applyProtection="1">
      <alignment vertical="center"/>
    </xf>
    <xf numFmtId="2" fontId="68" fillId="42" borderId="14" xfId="0" applyNumberFormat="1" applyFont="1" applyFill="1" applyBorder="1" applyAlignment="1" applyProtection="1">
      <alignment vertical="center"/>
    </xf>
    <xf numFmtId="0" fontId="68" fillId="0" borderId="47" xfId="0" applyNumberFormat="1" applyFont="1" applyFill="1" applyBorder="1" applyAlignment="1" applyProtection="1">
      <alignment vertical="center"/>
    </xf>
    <xf numFmtId="0" fontId="68" fillId="42" borderId="46" xfId="0" applyNumberFormat="1" applyFont="1" applyFill="1" applyBorder="1" applyAlignment="1" applyProtection="1">
      <alignment vertical="center"/>
    </xf>
    <xf numFmtId="0" fontId="68" fillId="42" borderId="47" xfId="0" applyNumberFormat="1" applyFont="1" applyFill="1" applyBorder="1" applyAlignment="1" applyProtection="1">
      <alignment vertical="center"/>
    </xf>
    <xf numFmtId="167" fontId="19" fillId="0" borderId="9" xfId="0" applyNumberFormat="1" applyFont="1" applyFill="1" applyBorder="1" applyAlignment="1" applyProtection="1">
      <alignment horizontal="right" vertical="center" wrapText="1"/>
    </xf>
    <xf numFmtId="1" fontId="19" fillId="0" borderId="6"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right" vertical="center" wrapText="1"/>
    </xf>
    <xf numFmtId="174" fontId="68" fillId="42" borderId="40" xfId="0" applyNumberFormat="1" applyFont="1" applyFill="1" applyBorder="1" applyAlignment="1" applyProtection="1">
      <alignment horizontal="right" vertical="center" wrapText="1"/>
    </xf>
    <xf numFmtId="167" fontId="68" fillId="42" borderId="14" xfId="0" applyNumberFormat="1" applyFont="1" applyFill="1" applyBorder="1" applyAlignment="1" applyProtection="1">
      <alignment vertical="center" wrapText="1"/>
    </xf>
    <xf numFmtId="0" fontId="68" fillId="0" borderId="13" xfId="0" applyNumberFormat="1" applyFont="1" applyFill="1" applyBorder="1" applyAlignment="1" applyProtection="1">
      <alignment horizontal="center" vertical="center"/>
    </xf>
    <xf numFmtId="0" fontId="19" fillId="0" borderId="17" xfId="0" applyNumberFormat="1" applyFont="1" applyFill="1" applyBorder="1" applyAlignment="1" applyProtection="1">
      <alignment horizontal="center" vertical="center" wrapText="1"/>
    </xf>
    <xf numFmtId="1" fontId="19" fillId="0" borderId="59" xfId="0" applyNumberFormat="1" applyFont="1" applyFill="1" applyBorder="1" applyAlignment="1" applyProtection="1">
      <alignment horizontal="center" vertical="center"/>
    </xf>
    <xf numFmtId="1" fontId="19" fillId="0" borderId="10" xfId="0" applyNumberFormat="1" applyFont="1" applyFill="1" applyBorder="1" applyAlignment="1" applyProtection="1">
      <alignment horizontal="center" vertical="center"/>
    </xf>
    <xf numFmtId="0" fontId="68" fillId="42" borderId="73" xfId="0" applyNumberFormat="1" applyFont="1" applyFill="1" applyBorder="1" applyAlignment="1" applyProtection="1">
      <alignment vertical="center" wrapText="1"/>
    </xf>
    <xf numFmtId="0" fontId="68" fillId="42" borderId="57" xfId="0" applyNumberFormat="1" applyFont="1" applyFill="1" applyBorder="1" applyAlignment="1" applyProtection="1">
      <alignment vertical="center"/>
    </xf>
    <xf numFmtId="0" fontId="68" fillId="42" borderId="58" xfId="0" applyNumberFormat="1" applyFont="1" applyFill="1" applyBorder="1" applyAlignment="1" applyProtection="1">
      <alignment vertical="center"/>
    </xf>
    <xf numFmtId="0" fontId="68" fillId="35" borderId="38" xfId="0" applyNumberFormat="1" applyFont="1" applyFill="1" applyBorder="1" applyAlignment="1" applyProtection="1">
      <alignment horizontal="left" vertical="center"/>
    </xf>
    <xf numFmtId="0" fontId="68" fillId="35" borderId="43" xfId="0" applyNumberFormat="1" applyFont="1" applyFill="1" applyBorder="1" applyAlignment="1" applyProtection="1">
      <alignment horizontal="left" vertical="center"/>
    </xf>
    <xf numFmtId="0" fontId="68" fillId="35" borderId="55" xfId="0" applyNumberFormat="1" applyFont="1" applyFill="1" applyBorder="1" applyAlignment="1" applyProtection="1">
      <alignment horizontal="left" vertical="center"/>
    </xf>
    <xf numFmtId="167" fontId="63" fillId="42" borderId="14" xfId="0" applyNumberFormat="1" applyFont="1" applyFill="1" applyBorder="1" applyAlignment="1" applyProtection="1">
      <alignment horizontal="right" vertical="center" wrapText="1"/>
    </xf>
    <xf numFmtId="0" fontId="33" fillId="0" borderId="0" xfId="0" applyNumberFormat="1" applyFont="1" applyFill="1" applyBorder="1" applyAlignment="1" applyProtection="1">
      <alignment vertical="center"/>
    </xf>
    <xf numFmtId="167" fontId="81" fillId="0" borderId="6" xfId="0" applyNumberFormat="1" applyFont="1" applyFill="1" applyBorder="1" applyAlignment="1" applyProtection="1">
      <alignment horizontal="center" vertical="center" wrapText="1"/>
    </xf>
    <xf numFmtId="0" fontId="19" fillId="0" borderId="62" xfId="0" applyNumberFormat="1" applyFont="1" applyFill="1" applyBorder="1" applyAlignment="1" applyProtection="1">
      <alignment vertical="center" wrapText="1"/>
    </xf>
    <xf numFmtId="0" fontId="19" fillId="0" borderId="0" xfId="0" applyNumberFormat="1" applyFont="1" applyFill="1" applyBorder="1" applyAlignment="1" applyProtection="1">
      <alignment vertical="center" wrapText="1"/>
    </xf>
    <xf numFmtId="0" fontId="19" fillId="0" borderId="13" xfId="0" applyNumberFormat="1" applyFont="1" applyFill="1" applyBorder="1" applyAlignment="1" applyProtection="1">
      <alignment vertical="center" wrapText="1"/>
    </xf>
    <xf numFmtId="0" fontId="0" fillId="0" borderId="31" xfId="0" applyBorder="1" applyAlignment="1">
      <alignment horizontal="left" vertical="center" wrapText="1"/>
    </xf>
    <xf numFmtId="2" fontId="71" fillId="0" borderId="94" xfId="0" applyNumberFormat="1" applyFont="1" applyFill="1" applyBorder="1" applyAlignment="1">
      <alignment horizontal="center" vertical="center"/>
    </xf>
    <xf numFmtId="0" fontId="0" fillId="0" borderId="23" xfId="0" applyBorder="1" applyAlignment="1">
      <alignment horizontal="left" vertical="center" wrapText="1"/>
    </xf>
    <xf numFmtId="0" fontId="0" fillId="0" borderId="31" xfId="0" applyBorder="1" applyAlignment="1">
      <alignment horizontal="left" vertical="center"/>
    </xf>
    <xf numFmtId="0" fontId="0" fillId="0" borderId="51" xfId="0" applyBorder="1" applyAlignment="1">
      <alignment horizontal="left" vertical="center"/>
    </xf>
    <xf numFmtId="0" fontId="0" fillId="0" borderId="25" xfId="0" applyBorder="1" applyAlignment="1">
      <alignment horizontal="left" vertical="center"/>
    </xf>
    <xf numFmtId="0" fontId="0" fillId="0" borderId="73" xfId="0" applyBorder="1" applyAlignment="1">
      <alignment horizontal="left" vertical="center"/>
    </xf>
    <xf numFmtId="2" fontId="71" fillId="0" borderId="19" xfId="0" applyNumberFormat="1" applyFont="1" applyFill="1" applyBorder="1" applyAlignment="1">
      <alignment horizontal="center" vertical="center"/>
    </xf>
    <xf numFmtId="0" fontId="71" fillId="0" borderId="35" xfId="0" applyFont="1" applyFill="1" applyBorder="1" applyAlignment="1">
      <alignment horizontal="center" vertical="center"/>
    </xf>
    <xf numFmtId="0" fontId="71" fillId="0" borderId="19" xfId="0" applyFont="1" applyFill="1" applyBorder="1" applyAlignment="1">
      <alignment horizontal="center" vertical="center"/>
    </xf>
    <xf numFmtId="0" fontId="0" fillId="0" borderId="51" xfId="0" applyBorder="1" applyAlignment="1">
      <alignment horizontal="left" vertical="center" wrapText="1"/>
    </xf>
    <xf numFmtId="176" fontId="71" fillId="0" borderId="16" xfId="0" applyNumberFormat="1" applyFont="1" applyFill="1" applyBorder="1" applyAlignment="1">
      <alignment horizontal="center" vertical="center"/>
    </xf>
    <xf numFmtId="0" fontId="0" fillId="0" borderId="48" xfId="0" applyBorder="1" applyAlignment="1">
      <alignment horizontal="left" vertical="center"/>
    </xf>
    <xf numFmtId="2" fontId="71" fillId="0" borderId="46" xfId="0" applyNumberFormat="1" applyFont="1" applyFill="1" applyBorder="1" applyAlignment="1">
      <alignment horizontal="center" vertical="center"/>
    </xf>
    <xf numFmtId="0" fontId="67" fillId="0" borderId="47" xfId="0" applyFont="1" applyBorder="1" applyAlignment="1">
      <alignment horizontal="center" vertical="center"/>
    </xf>
    <xf numFmtId="0" fontId="0" fillId="0" borderId="76" xfId="0" applyBorder="1" applyAlignment="1">
      <alignment horizontal="center" wrapText="1"/>
    </xf>
    <xf numFmtId="0" fontId="98" fillId="0" borderId="13" xfId="0" applyFont="1" applyBorder="1" applyAlignment="1">
      <alignment horizontal="right" wrapText="1"/>
    </xf>
    <xf numFmtId="0" fontId="0" fillId="0" borderId="77" xfId="0" applyBorder="1" applyAlignment="1">
      <alignment horizontal="center" wrapText="1"/>
    </xf>
    <xf numFmtId="0" fontId="98" fillId="0" borderId="97" xfId="0" applyFont="1" applyBorder="1" applyAlignment="1">
      <alignment horizontal="right" wrapText="1"/>
    </xf>
    <xf numFmtId="0" fontId="0" fillId="0" borderId="76" xfId="0" applyBorder="1" applyAlignment="1">
      <alignment horizontal="center"/>
    </xf>
    <xf numFmtId="0" fontId="0" fillId="0" borderId="77" xfId="0" applyBorder="1" applyAlignment="1">
      <alignment horizontal="center"/>
    </xf>
    <xf numFmtId="0" fontId="0" fillId="0" borderId="12" xfId="0" applyBorder="1" applyAlignment="1">
      <alignment horizontal="center"/>
    </xf>
    <xf numFmtId="0" fontId="0" fillId="0" borderId="76" xfId="0" applyBorder="1" applyAlignment="1">
      <alignment wrapText="1"/>
    </xf>
    <xf numFmtId="0" fontId="0" fillId="0" borderId="98" xfId="0" applyBorder="1" applyAlignment="1">
      <alignment horizontal="center"/>
    </xf>
    <xf numFmtId="0" fontId="0" fillId="0" borderId="77" xfId="0" applyBorder="1" applyAlignment="1">
      <alignment wrapText="1"/>
    </xf>
    <xf numFmtId="14" fontId="11" fillId="0" borderId="13" xfId="0" applyNumberFormat="1" applyFont="1" applyBorder="1" applyAlignment="1">
      <alignment horizontal="right" vertical="center" wrapText="1"/>
    </xf>
    <xf numFmtId="182" fontId="24" fillId="0" borderId="16" xfId="0" applyNumberFormat="1" applyFont="1" applyFill="1" applyBorder="1" applyAlignment="1">
      <alignment horizontal="center" vertical="center" wrapText="1"/>
    </xf>
    <xf numFmtId="179" fontId="25" fillId="0" borderId="16" xfId="0" applyNumberFormat="1" applyFont="1" applyFill="1" applyBorder="1" applyAlignment="1">
      <alignment horizontal="center" vertical="center" wrapText="1"/>
    </xf>
    <xf numFmtId="167" fontId="64" fillId="0" borderId="0" xfId="0" applyNumberFormat="1" applyFont="1" applyFill="1" applyBorder="1" applyAlignment="1" applyProtection="1">
      <alignment horizontal="left" vertical="center" wrapText="1"/>
    </xf>
    <xf numFmtId="0" fontId="24" fillId="0" borderId="54" xfId="0" applyFont="1" applyBorder="1" applyAlignment="1">
      <alignment horizontal="left" vertical="center" wrapText="1"/>
    </xf>
    <xf numFmtId="0" fontId="24" fillId="0" borderId="55" xfId="0" applyFont="1" applyBorder="1" applyAlignment="1">
      <alignment wrapText="1"/>
    </xf>
    <xf numFmtId="14" fontId="10" fillId="0" borderId="102" xfId="0" applyNumberFormat="1" applyFont="1" applyBorder="1" applyAlignment="1">
      <alignment horizontal="center" vertical="center"/>
    </xf>
    <xf numFmtId="0" fontId="10" fillId="0" borderId="100" xfId="0" applyFont="1" applyBorder="1" applyAlignment="1">
      <alignment horizontal="left" vertical="center" wrapText="1"/>
    </xf>
    <xf numFmtId="2" fontId="10" fillId="0" borderId="100" xfId="0" applyNumberFormat="1" applyFont="1" applyBorder="1" applyAlignment="1">
      <alignment horizontal="center" vertical="center"/>
    </xf>
    <xf numFmtId="0" fontId="24" fillId="0" borderId="107" xfId="0" applyFont="1" applyBorder="1" applyAlignment="1">
      <alignment horizontal="center" vertical="center" wrapText="1"/>
    </xf>
    <xf numFmtId="0" fontId="99" fillId="0" borderId="16" xfId="56" applyBorder="1" applyAlignment="1">
      <alignment horizontal="center" vertical="center" wrapText="1"/>
    </xf>
    <xf numFmtId="14" fontId="10" fillId="0" borderId="23" xfId="0" applyNumberFormat="1" applyFont="1" applyBorder="1" applyAlignment="1">
      <alignment horizontal="center" vertical="center"/>
    </xf>
    <xf numFmtId="0" fontId="10" fillId="0" borderId="14" xfId="0" applyFont="1" applyBorder="1" applyAlignment="1">
      <alignment horizontal="left" vertical="center" wrapText="1"/>
    </xf>
    <xf numFmtId="2" fontId="10" fillId="0" borderId="14" xfId="0" applyNumberFormat="1" applyFont="1" applyBorder="1" applyAlignment="1">
      <alignment horizontal="center" vertical="center"/>
    </xf>
    <xf numFmtId="0" fontId="24" fillId="0" borderId="19" xfId="0" applyFont="1" applyBorder="1" applyAlignment="1">
      <alignment horizontal="center" vertical="center" wrapText="1"/>
    </xf>
    <xf numFmtId="0" fontId="26" fillId="0" borderId="0" xfId="0" applyFont="1" applyAlignment="1">
      <alignment horizontal="left" vertical="center"/>
    </xf>
    <xf numFmtId="0" fontId="10" fillId="0" borderId="0" xfId="0" applyFont="1" applyAlignment="1">
      <alignment horizontal="left" vertical="center"/>
    </xf>
    <xf numFmtId="0" fontId="24" fillId="0" borderId="17" xfId="0" applyFont="1" applyBorder="1"/>
    <xf numFmtId="0" fontId="25" fillId="0" borderId="59" xfId="0" applyFont="1" applyBorder="1" applyAlignment="1">
      <alignment horizontal="right" vertical="center"/>
    </xf>
    <xf numFmtId="2" fontId="25" fillId="0" borderId="59" xfId="0" applyNumberFormat="1" applyFont="1" applyBorder="1" applyAlignment="1">
      <alignment horizontal="center" vertical="center"/>
    </xf>
    <xf numFmtId="0" fontId="24" fillId="0" borderId="63" xfId="0" applyFont="1" applyBorder="1"/>
    <xf numFmtId="0" fontId="24" fillId="0" borderId="54" xfId="0" applyFont="1" applyBorder="1"/>
    <xf numFmtId="0" fontId="24" fillId="0" borderId="55" xfId="0" applyFont="1" applyBorder="1" applyAlignment="1">
      <alignment horizontal="left" vertical="center"/>
    </xf>
    <xf numFmtId="0" fontId="10" fillId="0" borderId="19" xfId="0" applyFont="1" applyBorder="1" applyAlignment="1">
      <alignment horizontal="center" vertical="center" wrapText="1"/>
    </xf>
    <xf numFmtId="14" fontId="10" fillId="0" borderId="21" xfId="0" applyNumberFormat="1" applyFont="1" applyBorder="1" applyAlignment="1">
      <alignment horizontal="center" vertical="center"/>
    </xf>
    <xf numFmtId="0" fontId="10" fillId="0" borderId="22" xfId="0" applyFont="1" applyBorder="1" applyAlignment="1">
      <alignment horizontal="left" vertical="center" wrapText="1"/>
    </xf>
    <xf numFmtId="2" fontId="10" fillId="0" borderId="22" xfId="0" applyNumberFormat="1" applyFont="1" applyBorder="1" applyAlignment="1">
      <alignment horizontal="center" vertical="center"/>
    </xf>
    <xf numFmtId="0" fontId="10" fillId="0" borderId="41" xfId="0" applyFont="1" applyBorder="1" applyAlignment="1">
      <alignment horizontal="center" vertical="center" wrapText="1"/>
    </xf>
    <xf numFmtId="0" fontId="22" fillId="0" borderId="100" xfId="0" applyFont="1" applyBorder="1" applyAlignment="1">
      <alignment horizontal="justify" vertical="center" wrapText="1"/>
    </xf>
    <xf numFmtId="167" fontId="16" fillId="0" borderId="93" xfId="0" applyNumberFormat="1" applyFont="1" applyBorder="1" applyAlignment="1">
      <alignment horizontal="center" vertical="center" wrapText="1"/>
    </xf>
    <xf numFmtId="0" fontId="11" fillId="2" borderId="108" xfId="3" applyFont="1" applyFill="1" applyBorder="1" applyAlignment="1">
      <alignment horizontal="center" vertical="center"/>
    </xf>
    <xf numFmtId="167" fontId="18" fillId="2" borderId="110" xfId="3" applyNumberFormat="1" applyFont="1" applyFill="1" applyBorder="1" applyAlignment="1">
      <alignment horizontal="center" vertical="center" wrapText="1"/>
    </xf>
    <xf numFmtId="0" fontId="16" fillId="0" borderId="14" xfId="0" applyFont="1" applyBorder="1" applyAlignment="1">
      <alignment horizontal="center" vertical="center" wrapText="1"/>
    </xf>
    <xf numFmtId="171" fontId="10" fillId="0" borderId="14" xfId="0" applyNumberFormat="1" applyFont="1" applyBorder="1" applyAlignment="1">
      <alignment horizontal="center" vertical="center"/>
    </xf>
    <xf numFmtId="0" fontId="16" fillId="0" borderId="22" xfId="0" applyFont="1" applyBorder="1" applyAlignment="1">
      <alignment horizontal="center" vertical="center" wrapText="1"/>
    </xf>
    <xf numFmtId="172" fontId="10" fillId="0" borderId="22" xfId="0" applyNumberFormat="1" applyFont="1" applyBorder="1" applyAlignment="1">
      <alignment horizontal="center" vertical="center"/>
    </xf>
    <xf numFmtId="0" fontId="0" fillId="0" borderId="0" xfId="0" applyAlignment="1">
      <alignment wrapText="1"/>
    </xf>
    <xf numFmtId="0" fontId="64" fillId="0" borderId="0" xfId="0" applyFont="1" applyFill="1" applyBorder="1" applyAlignment="1">
      <alignment horizontal="left" vertical="center"/>
    </xf>
    <xf numFmtId="0" fontId="11" fillId="0" borderId="36" xfId="3" applyFont="1" applyFill="1" applyBorder="1" applyAlignment="1">
      <alignment horizontal="center" vertical="center"/>
    </xf>
    <xf numFmtId="167" fontId="11" fillId="0" borderId="39" xfId="3" applyNumberFormat="1" applyFont="1" applyFill="1" applyBorder="1" applyAlignment="1">
      <alignment horizontal="center" vertical="center" wrapText="1"/>
    </xf>
    <xf numFmtId="167" fontId="11" fillId="0" borderId="94" xfId="0" applyNumberFormat="1" applyFont="1" applyFill="1" applyBorder="1" applyAlignment="1">
      <alignment horizontal="right" vertical="center" wrapText="1"/>
    </xf>
    <xf numFmtId="4" fontId="66" fillId="0" borderId="0" xfId="0" applyNumberFormat="1" applyFont="1" applyBorder="1" applyAlignment="1">
      <alignment horizontal="left" vertical="center"/>
    </xf>
    <xf numFmtId="0" fontId="10" fillId="0" borderId="10" xfId="0" applyFont="1" applyBorder="1" applyAlignment="1">
      <alignment horizontal="left" vertical="center" wrapText="1"/>
    </xf>
    <xf numFmtId="2" fontId="19" fillId="0" borderId="0" xfId="0" applyNumberFormat="1" applyFont="1" applyAlignment="1">
      <alignment horizontal="center" vertical="center"/>
    </xf>
    <xf numFmtId="4" fontId="10" fillId="0" borderId="0" xfId="0" applyNumberFormat="1" applyFont="1" applyFill="1" applyBorder="1" applyAlignment="1">
      <alignment horizontal="center" vertical="center"/>
    </xf>
    <xf numFmtId="167" fontId="10" fillId="0" borderId="100" xfId="0" applyNumberFormat="1" applyFont="1" applyBorder="1" applyAlignment="1">
      <alignment horizontal="center" vertical="center"/>
    </xf>
    <xf numFmtId="4" fontId="18" fillId="6" borderId="100" xfId="0" applyNumberFormat="1" applyFont="1" applyFill="1" applyBorder="1" applyAlignment="1">
      <alignment horizontal="right" vertical="center"/>
    </xf>
    <xf numFmtId="167" fontId="11" fillId="0" borderId="100" xfId="0" applyNumberFormat="1" applyFont="1" applyBorder="1" applyAlignment="1">
      <alignment horizontal="center" vertical="center"/>
    </xf>
    <xf numFmtId="172" fontId="16" fillId="0" borderId="100" xfId="0" applyNumberFormat="1" applyFont="1" applyBorder="1" applyAlignment="1">
      <alignment horizontal="center" vertical="center" wrapText="1"/>
    </xf>
    <xf numFmtId="0" fontId="18" fillId="0" borderId="102" xfId="0" applyFont="1" applyBorder="1" applyAlignment="1">
      <alignment vertical="center" wrapText="1"/>
    </xf>
    <xf numFmtId="0" fontId="11" fillId="0" borderId="100" xfId="0" applyFont="1" applyBorder="1" applyAlignment="1">
      <alignment vertical="center" wrapText="1"/>
    </xf>
    <xf numFmtId="167" fontId="11" fillId="0" borderId="100" xfId="0" applyNumberFormat="1" applyFont="1" applyBorder="1" applyAlignment="1">
      <alignment vertical="center" wrapText="1"/>
    </xf>
    <xf numFmtId="167" fontId="11" fillId="0" borderId="100" xfId="0" applyNumberFormat="1" applyFont="1" applyBorder="1" applyAlignment="1">
      <alignment vertical="center"/>
    </xf>
    <xf numFmtId="167" fontId="22" fillId="0" borderId="107" xfId="0" applyNumberFormat="1" applyFont="1" applyBorder="1" applyAlignment="1">
      <alignment horizontal="center" vertical="center" wrapText="1"/>
    </xf>
    <xf numFmtId="167" fontId="10" fillId="0" borderId="93" xfId="0" applyNumberFormat="1" applyFont="1" applyBorder="1" applyAlignment="1">
      <alignment horizontal="center" vertical="center" wrapText="1"/>
    </xf>
    <xf numFmtId="0" fontId="32" fillId="30" borderId="102" xfId="5" applyFont="1" applyFill="1" applyBorder="1" applyAlignment="1">
      <alignment horizontal="center" vertical="center" wrapText="1"/>
    </xf>
    <xf numFmtId="0" fontId="11" fillId="0" borderId="102" xfId="0" applyFont="1" applyBorder="1" applyAlignment="1">
      <alignment horizontal="center" vertical="center"/>
    </xf>
    <xf numFmtId="167" fontId="23" fillId="0" borderId="93" xfId="0" applyNumberFormat="1" applyFont="1" applyBorder="1" applyAlignment="1">
      <alignment horizontal="center" vertical="center" wrapText="1"/>
    </xf>
    <xf numFmtId="0" fontId="23" fillId="0" borderId="92" xfId="0" applyFont="1" applyBorder="1" applyAlignment="1">
      <alignment horizontal="justify" vertical="center" wrapText="1"/>
    </xf>
    <xf numFmtId="167" fontId="23" fillId="2" borderId="110" xfId="3" applyNumberFormat="1" applyFont="1" applyFill="1" applyBorder="1" applyAlignment="1">
      <alignment horizontal="center" vertical="center" wrapText="1"/>
    </xf>
    <xf numFmtId="0" fontId="11" fillId="0" borderId="0" xfId="0" applyFont="1" applyBorder="1" applyAlignment="1">
      <alignment horizontal="center" vertical="center" wrapText="1"/>
    </xf>
    <xf numFmtId="0" fontId="25" fillId="0" borderId="0" xfId="0" applyFont="1" applyBorder="1" applyAlignment="1">
      <alignment horizontal="right" vertical="center"/>
    </xf>
    <xf numFmtId="0" fontId="0" fillId="0" borderId="0" xfId="0" applyBorder="1" applyAlignment="1">
      <alignment wrapText="1"/>
    </xf>
    <xf numFmtId="0" fontId="98" fillId="0" borderId="76" xfId="0" applyFont="1" applyBorder="1" applyAlignment="1">
      <alignment horizontal="right" wrapText="1"/>
    </xf>
    <xf numFmtId="0" fontId="11" fillId="0" borderId="94" xfId="0" applyFont="1" applyFill="1" applyBorder="1" applyAlignment="1">
      <alignment horizontal="center" vertical="center"/>
    </xf>
    <xf numFmtId="0" fontId="0" fillId="40" borderId="0" xfId="0" applyFill="1" applyBorder="1" applyAlignment="1">
      <alignment wrapText="1"/>
    </xf>
    <xf numFmtId="0" fontId="98" fillId="40" borderId="76" xfId="0" applyFont="1" applyFill="1" applyBorder="1" applyAlignment="1">
      <alignment horizontal="right" wrapText="1"/>
    </xf>
    <xf numFmtId="0" fontId="0" fillId="40" borderId="96" xfId="0" applyFill="1" applyBorder="1" applyAlignment="1">
      <alignment wrapText="1"/>
    </xf>
    <xf numFmtId="0" fontId="98" fillId="40" borderId="77" xfId="0" applyFont="1" applyFill="1" applyBorder="1" applyAlignment="1">
      <alignment horizontal="right" wrapText="1"/>
    </xf>
    <xf numFmtId="2" fontId="71" fillId="0" borderId="0" xfId="0" applyNumberFormat="1" applyFont="1" applyAlignment="1">
      <alignment horizontal="center" vertical="center"/>
    </xf>
    <xf numFmtId="0" fontId="98" fillId="3" borderId="76" xfId="0" applyFont="1" applyFill="1" applyBorder="1" applyAlignment="1">
      <alignment horizontal="right" wrapText="1"/>
    </xf>
    <xf numFmtId="0" fontId="98" fillId="40" borderId="75" xfId="0" applyFont="1" applyFill="1" applyBorder="1" applyAlignment="1">
      <alignment horizontal="right" wrapText="1"/>
    </xf>
    <xf numFmtId="0" fontId="0" fillId="40" borderId="13" xfId="0" applyFill="1" applyBorder="1" applyAlignment="1">
      <alignment wrapText="1"/>
    </xf>
    <xf numFmtId="0" fontId="98" fillId="40" borderId="13" xfId="0" applyFont="1" applyFill="1" applyBorder="1" applyAlignment="1">
      <alignment horizontal="right" wrapText="1"/>
    </xf>
    <xf numFmtId="0" fontId="0" fillId="40" borderId="97" xfId="0" applyFill="1" applyBorder="1" applyAlignment="1">
      <alignment wrapText="1"/>
    </xf>
    <xf numFmtId="0" fontId="98" fillId="40" borderId="97" xfId="0" applyFont="1" applyFill="1" applyBorder="1" applyAlignment="1">
      <alignment horizontal="right" wrapText="1"/>
    </xf>
    <xf numFmtId="0" fontId="11" fillId="0" borderId="94" xfId="0" applyFont="1" applyBorder="1" applyAlignment="1">
      <alignment horizontal="center" vertical="center"/>
    </xf>
    <xf numFmtId="0" fontId="24" fillId="0" borderId="0" xfId="0" applyFont="1" applyFill="1" applyAlignment="1">
      <alignment horizontal="center" vertical="center"/>
    </xf>
    <xf numFmtId="0" fontId="0" fillId="0" borderId="0" xfId="0" applyFill="1" applyAlignment="1">
      <alignment horizontal="center" vertical="center"/>
    </xf>
    <xf numFmtId="0" fontId="10" fillId="0" borderId="0" xfId="0" applyFont="1" applyFill="1" applyAlignment="1">
      <alignment horizontal="center" vertical="center"/>
    </xf>
    <xf numFmtId="0" fontId="18" fillId="0" borderId="23" xfId="0" applyFont="1" applyBorder="1" applyAlignment="1">
      <alignment vertical="center" wrapText="1"/>
    </xf>
    <xf numFmtId="0" fontId="11" fillId="0" borderId="14" xfId="0" applyFont="1" applyBorder="1" applyAlignment="1">
      <alignment vertical="center" wrapText="1"/>
    </xf>
    <xf numFmtId="167" fontId="11" fillId="0" borderId="14" xfId="0" applyNumberFormat="1" applyFont="1" applyBorder="1" applyAlignment="1">
      <alignment vertical="center" wrapText="1"/>
    </xf>
    <xf numFmtId="167" fontId="11" fillId="0" borderId="14" xfId="0" applyNumberFormat="1" applyFont="1" applyBorder="1" applyAlignment="1">
      <alignment vertical="center"/>
    </xf>
    <xf numFmtId="4" fontId="18" fillId="6" borderId="14" xfId="0" applyNumberFormat="1" applyFont="1" applyFill="1" applyBorder="1" applyAlignment="1">
      <alignment horizontal="right" vertical="center"/>
    </xf>
    <xf numFmtId="167" fontId="22" fillId="0" borderId="19" xfId="0" applyNumberFormat="1" applyFont="1" applyBorder="1" applyAlignment="1">
      <alignment horizontal="center" vertical="center" wrapText="1"/>
    </xf>
    <xf numFmtId="167" fontId="25" fillId="0" borderId="107" xfId="0" applyNumberFormat="1" applyFont="1" applyBorder="1" applyAlignment="1">
      <alignment horizontal="center" vertical="center" wrapText="1"/>
    </xf>
    <xf numFmtId="0" fontId="17" fillId="0" borderId="0" xfId="0" applyFont="1" applyAlignment="1">
      <alignment horizontal="left" vertical="center" wrapText="1"/>
    </xf>
    <xf numFmtId="2" fontId="23" fillId="0" borderId="14" xfId="0" applyNumberFormat="1" applyFont="1" applyBorder="1" applyAlignment="1">
      <alignment horizontal="center" vertical="center"/>
    </xf>
    <xf numFmtId="0" fontId="84" fillId="0" borderId="6" xfId="0" applyFont="1" applyFill="1" applyBorder="1" applyAlignment="1">
      <alignment horizontal="left" vertical="center" wrapText="1"/>
    </xf>
    <xf numFmtId="0" fontId="11" fillId="0" borderId="6" xfId="0" applyFont="1" applyFill="1" applyBorder="1" applyAlignment="1">
      <alignment horizontal="left" vertical="center" wrapText="1" indent="1"/>
    </xf>
    <xf numFmtId="167" fontId="23" fillId="2" borderId="110" xfId="0" applyNumberFormat="1" applyFont="1" applyFill="1" applyBorder="1" applyAlignment="1">
      <alignment horizontal="center" vertical="center" wrapText="1"/>
    </xf>
    <xf numFmtId="0" fontId="24" fillId="0" borderId="13" xfId="0" applyFont="1" applyFill="1" applyBorder="1" applyAlignment="1">
      <alignment horizontal="right" vertical="center" wrapText="1"/>
    </xf>
    <xf numFmtId="0" fontId="10" fillId="0" borderId="13" xfId="0" applyFont="1" applyFill="1" applyBorder="1" applyAlignment="1">
      <alignment horizontal="right" vertical="center" wrapText="1"/>
    </xf>
    <xf numFmtId="0" fontId="99" fillId="0" borderId="107" xfId="56" applyBorder="1" applyAlignment="1">
      <alignment horizontal="center" vertical="center" wrapText="1"/>
    </xf>
    <xf numFmtId="0" fontId="11" fillId="0" borderId="0" xfId="0" applyFont="1" applyBorder="1" applyAlignment="1">
      <alignment horizontal="left" vertical="center" wrapText="1"/>
    </xf>
    <xf numFmtId="0" fontId="24" fillId="0" borderId="37" xfId="0" applyFont="1" applyBorder="1" applyAlignment="1">
      <alignment horizontal="left" vertical="center"/>
    </xf>
    <xf numFmtId="0" fontId="11" fillId="0" borderId="37" xfId="3" applyFont="1" applyFill="1" applyBorder="1" applyAlignment="1">
      <alignment horizontal="center" vertical="center" wrapText="1"/>
    </xf>
    <xf numFmtId="0" fontId="10" fillId="0" borderId="40" xfId="0" applyFont="1" applyBorder="1" applyAlignment="1">
      <alignment horizontal="center" vertical="center"/>
    </xf>
    <xf numFmtId="0" fontId="10" fillId="0" borderId="6" xfId="0" applyFont="1" applyBorder="1" applyAlignment="1">
      <alignment horizontal="center" vertical="center"/>
    </xf>
    <xf numFmtId="0" fontId="10" fillId="0" borderId="38" xfId="0" applyFont="1" applyBorder="1" applyAlignment="1">
      <alignment horizontal="center" vertical="center"/>
    </xf>
    <xf numFmtId="0" fontId="24" fillId="0" borderId="37" xfId="0" applyFont="1" applyBorder="1" applyAlignment="1">
      <alignment horizontal="center" vertical="center" wrapText="1"/>
    </xf>
    <xf numFmtId="0" fontId="0" fillId="0" borderId="97" xfId="0" applyBorder="1"/>
    <xf numFmtId="167" fontId="23" fillId="2" borderId="37" xfId="0" applyNumberFormat="1" applyFont="1" applyFill="1" applyBorder="1" applyAlignment="1">
      <alignment horizontal="center" vertical="center"/>
    </xf>
    <xf numFmtId="0" fontId="18" fillId="5" borderId="37" xfId="3" applyFont="1" applyFill="1" applyBorder="1" applyAlignment="1">
      <alignment vertical="center"/>
    </xf>
    <xf numFmtId="0" fontId="18" fillId="5" borderId="37" xfId="3" applyFont="1" applyFill="1" applyBorder="1" applyAlignment="1">
      <alignment horizontal="right" vertical="center"/>
    </xf>
    <xf numFmtId="2" fontId="18" fillId="5" borderId="55" xfId="3" applyNumberFormat="1" applyFont="1" applyFill="1" applyBorder="1" applyAlignment="1">
      <alignment vertical="center"/>
    </xf>
    <xf numFmtId="0" fontId="32" fillId="30" borderId="23" xfId="5" applyFont="1" applyFill="1" applyBorder="1" applyAlignment="1">
      <alignment horizontal="center" vertical="center" wrapText="1"/>
    </xf>
    <xf numFmtId="0" fontId="10" fillId="0" borderId="14" xfId="0" applyFont="1" applyBorder="1" applyAlignment="1">
      <alignment horizontal="center" vertical="center" wrapText="1"/>
    </xf>
    <xf numFmtId="176" fontId="24" fillId="0" borderId="1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0" fillId="0" borderId="58" xfId="0" applyNumberFormat="1" applyFont="1" applyBorder="1" applyAlignment="1">
      <alignment horizontal="center" vertical="center" wrapText="1"/>
    </xf>
    <xf numFmtId="0" fontId="10" fillId="0" borderId="36" xfId="0" applyFont="1" applyBorder="1" applyAlignment="1">
      <alignment horizontal="center" vertical="center" wrapText="1"/>
    </xf>
    <xf numFmtId="0" fontId="10" fillId="0" borderId="43" xfId="0" applyFont="1" applyBorder="1" applyAlignment="1">
      <alignment wrapText="1"/>
    </xf>
    <xf numFmtId="2" fontId="10" fillId="0" borderId="43" xfId="0" applyNumberFormat="1" applyFont="1" applyBorder="1" applyAlignment="1">
      <alignment horizontal="center" vertical="center"/>
    </xf>
    <xf numFmtId="4" fontId="23" fillId="6" borderId="43" xfId="0" applyNumberFormat="1" applyFont="1" applyFill="1" applyBorder="1" applyAlignment="1">
      <alignment horizontal="right" vertical="center"/>
    </xf>
    <xf numFmtId="167" fontId="23" fillId="0" borderId="39" xfId="0" applyNumberFormat="1" applyFont="1" applyBorder="1" applyAlignment="1">
      <alignment horizontal="center" vertical="center" wrapText="1"/>
    </xf>
    <xf numFmtId="0" fontId="86" fillId="0" borderId="0" xfId="0" applyFont="1" applyBorder="1" applyAlignment="1">
      <alignment wrapText="1"/>
    </xf>
    <xf numFmtId="0" fontId="10" fillId="30" borderId="24" xfId="5" applyFont="1" applyFill="1" applyBorder="1" applyAlignment="1">
      <alignment horizontal="center" vertical="center" wrapText="1"/>
    </xf>
    <xf numFmtId="0" fontId="10" fillId="30" borderId="23" xfId="5" applyFont="1" applyFill="1" applyBorder="1" applyAlignment="1">
      <alignment horizontal="center" vertical="center" wrapText="1"/>
    </xf>
    <xf numFmtId="0" fontId="10" fillId="0" borderId="96" xfId="0" applyFont="1" applyBorder="1" applyAlignment="1">
      <alignment horizontal="left" vertical="center" wrapText="1"/>
    </xf>
    <xf numFmtId="176" fontId="10" fillId="0" borderId="14" xfId="0" applyNumberFormat="1" applyFont="1" applyBorder="1" applyAlignment="1">
      <alignment horizontal="center" vertical="center"/>
    </xf>
    <xf numFmtId="0" fontId="10" fillId="30" borderId="21" xfId="5" applyFont="1" applyFill="1" applyBorder="1" applyAlignment="1">
      <alignment horizontal="center" vertical="center" wrapText="1"/>
    </xf>
    <xf numFmtId="0" fontId="10" fillId="0" borderId="22" xfId="0" applyFont="1" applyBorder="1" applyAlignment="1">
      <alignment horizontal="center" vertical="center" wrapText="1"/>
    </xf>
    <xf numFmtId="176" fontId="10" fillId="0" borderId="22" xfId="0" applyNumberFormat="1" applyFont="1" applyBorder="1" applyAlignment="1">
      <alignment horizontal="center" vertical="center"/>
    </xf>
    <xf numFmtId="167" fontId="10" fillId="0" borderId="22" xfId="0" applyNumberFormat="1" applyFont="1" applyBorder="1" applyAlignment="1">
      <alignment horizontal="center" vertical="center"/>
    </xf>
    <xf numFmtId="167" fontId="10" fillId="0" borderId="28" xfId="0" applyNumberFormat="1" applyFont="1" applyBorder="1" applyAlignment="1">
      <alignment horizontal="center" vertical="center" wrapText="1"/>
    </xf>
    <xf numFmtId="0" fontId="24" fillId="0" borderId="0" xfId="0" applyFont="1" applyBorder="1" applyAlignment="1">
      <alignment horizontal="center" vertical="center" wrapText="1"/>
    </xf>
    <xf numFmtId="2" fontId="68" fillId="31" borderId="46" xfId="0" applyNumberFormat="1" applyFont="1" applyFill="1" applyBorder="1" applyAlignment="1">
      <alignment horizontal="center" vertical="center" wrapText="1"/>
    </xf>
    <xf numFmtId="2" fontId="68" fillId="0" borderId="6" xfId="0" applyNumberFormat="1" applyFont="1" applyBorder="1" applyAlignment="1">
      <alignment horizontal="center" vertical="center" wrapText="1"/>
    </xf>
    <xf numFmtId="0" fontId="11" fillId="0" borderId="100" xfId="0" quotePrefix="1" applyFont="1" applyBorder="1" applyAlignment="1">
      <alignment horizontal="center" vertical="center"/>
    </xf>
    <xf numFmtId="4" fontId="11" fillId="0" borderId="101" xfId="0" applyNumberFormat="1" applyFont="1" applyBorder="1" applyAlignment="1">
      <alignment horizontal="right" vertical="center"/>
    </xf>
    <xf numFmtId="4" fontId="11" fillId="0" borderId="107" xfId="0" applyNumberFormat="1" applyFont="1" applyBorder="1" applyAlignment="1">
      <alignment horizontal="right" vertical="center"/>
    </xf>
    <xf numFmtId="4" fontId="11" fillId="3" borderId="100" xfId="0" applyNumberFormat="1" applyFont="1" applyFill="1" applyBorder="1" applyAlignment="1">
      <alignment horizontal="right" vertical="center"/>
    </xf>
    <xf numFmtId="0" fontId="24" fillId="0" borderId="96" xfId="0" applyFont="1" applyBorder="1"/>
    <xf numFmtId="0" fontId="17" fillId="0" borderId="96" xfId="0" applyFont="1" applyBorder="1"/>
    <xf numFmtId="0" fontId="24" fillId="0" borderId="97" xfId="0" applyFont="1" applyBorder="1" applyAlignment="1"/>
    <xf numFmtId="0" fontId="11" fillId="0" borderId="92" xfId="0" applyFont="1" applyBorder="1" applyAlignment="1">
      <alignment horizontal="justify" vertical="center" wrapText="1"/>
    </xf>
    <xf numFmtId="167" fontId="18" fillId="0" borderId="93" xfId="0" applyNumberFormat="1" applyFont="1" applyBorder="1" applyAlignment="1">
      <alignment horizontal="center" vertical="center" wrapText="1"/>
    </xf>
    <xf numFmtId="0" fontId="18" fillId="0" borderId="92" xfId="0" applyFont="1" applyBorder="1" applyAlignment="1">
      <alignment horizontal="justify" vertical="center" wrapText="1"/>
    </xf>
    <xf numFmtId="0" fontId="10" fillId="0" borderId="23" xfId="0" applyFont="1" applyBorder="1" applyAlignment="1">
      <alignment horizontal="center" vertical="center"/>
    </xf>
    <xf numFmtId="0" fontId="24" fillId="0" borderId="14" xfId="0" applyFont="1" applyBorder="1" applyAlignment="1">
      <alignment horizontal="left" vertical="center" wrapText="1"/>
    </xf>
    <xf numFmtId="0" fontId="11" fillId="0" borderId="14" xfId="0" applyFont="1" applyBorder="1" applyAlignment="1">
      <alignment horizontal="center" vertical="center" wrapText="1"/>
    </xf>
    <xf numFmtId="0" fontId="11" fillId="0" borderId="38" xfId="0" applyFont="1" applyBorder="1" applyAlignment="1">
      <alignment horizontal="center" vertical="center"/>
    </xf>
    <xf numFmtId="2" fontId="11" fillId="0" borderId="43" xfId="0" applyNumberFormat="1" applyFont="1" applyBorder="1" applyAlignment="1">
      <alignment horizontal="center" vertical="center"/>
    </xf>
    <xf numFmtId="4" fontId="18" fillId="6" borderId="43" xfId="0" applyNumberFormat="1" applyFont="1" applyFill="1" applyBorder="1" applyAlignment="1">
      <alignment horizontal="right" vertical="center"/>
    </xf>
    <xf numFmtId="0" fontId="16" fillId="0" borderId="102" xfId="0" applyFont="1" applyBorder="1" applyAlignment="1">
      <alignment horizontal="center" vertical="center"/>
    </xf>
    <xf numFmtId="0" fontId="10" fillId="0" borderId="92" xfId="0" applyFont="1" applyFill="1" applyBorder="1" applyAlignment="1">
      <alignment vertical="center" wrapText="1"/>
    </xf>
    <xf numFmtId="0" fontId="10" fillId="6" borderId="102" xfId="0" applyFont="1" applyFill="1" applyBorder="1" applyAlignment="1">
      <alignment horizontal="center" vertical="center"/>
    </xf>
    <xf numFmtId="0" fontId="10" fillId="0" borderId="100" xfId="0" applyFont="1" applyBorder="1" applyAlignment="1">
      <alignment horizontal="center" vertical="center"/>
    </xf>
    <xf numFmtId="176" fontId="10" fillId="0" borderId="100" xfId="0" applyNumberFormat="1" applyFont="1" applyBorder="1" applyAlignment="1">
      <alignment horizontal="center" vertical="center"/>
    </xf>
    <xf numFmtId="175" fontId="10" fillId="0" borderId="107" xfId="0" applyNumberFormat="1" applyFont="1" applyBorder="1" applyAlignment="1">
      <alignment horizontal="center" vertical="center"/>
    </xf>
    <xf numFmtId="0" fontId="10" fillId="0" borderId="92" xfId="0" applyFont="1" applyBorder="1" applyAlignment="1">
      <alignment horizontal="left" vertical="center" wrapText="1"/>
    </xf>
    <xf numFmtId="0" fontId="25" fillId="0" borderId="21" xfId="0" applyFont="1" applyBorder="1" applyAlignment="1">
      <alignment horizontal="center" vertical="center" wrapText="1"/>
    </xf>
    <xf numFmtId="0" fontId="18" fillId="6" borderId="22" xfId="0" applyFont="1" applyFill="1" applyBorder="1" applyAlignment="1">
      <alignment horizontal="center" vertical="center" wrapText="1"/>
    </xf>
    <xf numFmtId="0" fontId="22" fillId="0" borderId="22" xfId="0" applyFont="1" applyBorder="1" applyAlignment="1">
      <alignment horizontal="center" vertical="center"/>
    </xf>
    <xf numFmtId="0" fontId="25" fillId="0" borderId="41" xfId="0" applyFont="1" applyBorder="1" applyAlignment="1">
      <alignment horizontal="center" vertical="center" wrapText="1"/>
    </xf>
    <xf numFmtId="0" fontId="18" fillId="2" borderId="36" xfId="0" applyFont="1" applyFill="1" applyBorder="1" applyAlignment="1">
      <alignment horizontal="center" vertical="center"/>
    </xf>
    <xf numFmtId="0" fontId="23" fillId="5" borderId="37" xfId="0" applyFont="1" applyFill="1" applyBorder="1" applyAlignment="1">
      <alignment horizontal="justify" vertical="center" wrapText="1"/>
    </xf>
    <xf numFmtId="2" fontId="18" fillId="5" borderId="39" xfId="3" applyNumberFormat="1" applyFont="1" applyFill="1" applyBorder="1" applyAlignment="1">
      <alignment vertical="center"/>
    </xf>
    <xf numFmtId="0" fontId="10" fillId="0" borderId="31" xfId="0" applyFont="1" applyFill="1" applyBorder="1" applyAlignment="1">
      <alignment horizontal="center" vertical="center"/>
    </xf>
    <xf numFmtId="14" fontId="10" fillId="0" borderId="45" xfId="0" applyNumberFormat="1" applyFont="1" applyBorder="1" applyAlignment="1">
      <alignment horizontal="center" vertical="center"/>
    </xf>
    <xf numFmtId="0" fontId="10" fillId="0" borderId="20" xfId="0" applyFont="1" applyBorder="1" applyAlignment="1">
      <alignment horizontal="left" vertical="center" wrapText="1"/>
    </xf>
    <xf numFmtId="2" fontId="10" fillId="0" borderId="20" xfId="0" applyNumberFormat="1" applyFont="1" applyBorder="1" applyAlignment="1">
      <alignment horizontal="center" vertical="center"/>
    </xf>
    <xf numFmtId="0" fontId="24" fillId="0" borderId="49" xfId="0" applyFont="1" applyBorder="1" applyAlignment="1">
      <alignment horizontal="center" vertical="center" wrapText="1"/>
    </xf>
    <xf numFmtId="4" fontId="18" fillId="6" borderId="92" xfId="0" applyNumberFormat="1" applyFont="1" applyFill="1" applyBorder="1" applyAlignment="1">
      <alignment horizontal="right" vertical="center"/>
    </xf>
    <xf numFmtId="0" fontId="24" fillId="0" borderId="31" xfId="0" applyFont="1" applyBorder="1" applyAlignment="1">
      <alignment horizontal="center" vertical="center"/>
    </xf>
    <xf numFmtId="0" fontId="16" fillId="0" borderId="8" xfId="0" applyFont="1" applyBorder="1" applyAlignment="1">
      <alignment horizontal="center" vertical="center" wrapText="1"/>
    </xf>
    <xf numFmtId="171" fontId="10" fillId="0" borderId="8" xfId="0" applyNumberFormat="1" applyFont="1" applyBorder="1" applyAlignment="1">
      <alignment horizontal="center" vertical="center"/>
    </xf>
    <xf numFmtId="167" fontId="24" fillId="0" borderId="13" xfId="0" applyNumberFormat="1" applyFont="1" applyBorder="1" applyAlignment="1">
      <alignment horizontal="center" vertical="center" wrapText="1"/>
    </xf>
    <xf numFmtId="0" fontId="22" fillId="0" borderId="14" xfId="0" applyFont="1" applyBorder="1" applyAlignment="1">
      <alignment horizontal="center" vertical="center" wrapText="1"/>
    </xf>
    <xf numFmtId="171" fontId="22" fillId="0" borderId="14" xfId="0" applyNumberFormat="1" applyFont="1" applyBorder="1" applyAlignment="1">
      <alignment horizontal="center" vertical="center" wrapText="1"/>
    </xf>
    <xf numFmtId="0" fontId="24" fillId="0" borderId="21" xfId="0" applyFont="1" applyBorder="1" applyAlignment="1">
      <alignment horizontal="center" vertical="center"/>
    </xf>
    <xf numFmtId="0" fontId="24" fillId="0" borderId="22" xfId="0" applyFont="1" applyBorder="1" applyAlignment="1">
      <alignment horizontal="left" vertical="center" wrapText="1"/>
    </xf>
    <xf numFmtId="171" fontId="10" fillId="0" borderId="22" xfId="0" applyNumberFormat="1" applyFont="1" applyBorder="1" applyAlignment="1">
      <alignment horizontal="center" vertical="center"/>
    </xf>
    <xf numFmtId="167" fontId="24" fillId="0" borderId="28" xfId="0" applyNumberFormat="1" applyFont="1" applyBorder="1" applyAlignment="1">
      <alignment horizontal="center" vertical="center" wrapText="1"/>
    </xf>
    <xf numFmtId="0" fontId="16" fillId="0" borderId="23" xfId="0" applyFont="1" applyBorder="1" applyAlignment="1">
      <alignment horizontal="center" vertical="center"/>
    </xf>
    <xf numFmtId="167" fontId="24" fillId="0" borderId="22" xfId="0" applyNumberFormat="1" applyFont="1" applyBorder="1" applyAlignment="1">
      <alignment horizontal="center" vertical="center" wrapText="1"/>
    </xf>
    <xf numFmtId="0" fontId="16" fillId="0" borderId="45" xfId="0" applyFont="1" applyBorder="1" applyAlignment="1">
      <alignment vertical="center"/>
    </xf>
    <xf numFmtId="0" fontId="22" fillId="0" borderId="34" xfId="0" applyFont="1" applyBorder="1" applyAlignment="1">
      <alignment horizontal="justify" vertical="center" wrapText="1"/>
    </xf>
    <xf numFmtId="0" fontId="22" fillId="0" borderId="22" xfId="0" applyFont="1" applyBorder="1" applyAlignment="1">
      <alignment horizontal="center" vertical="center" wrapText="1"/>
    </xf>
    <xf numFmtId="171" fontId="22" fillId="0" borderId="22" xfId="0" applyNumberFormat="1" applyFont="1" applyBorder="1" applyAlignment="1">
      <alignment horizontal="center" vertical="center" wrapText="1"/>
    </xf>
    <xf numFmtId="167" fontId="22" fillId="0" borderId="28" xfId="0" applyNumberFormat="1" applyFont="1" applyBorder="1" applyAlignment="1">
      <alignment horizontal="center" vertical="center" wrapText="1"/>
    </xf>
    <xf numFmtId="0" fontId="22" fillId="0" borderId="92" xfId="0" applyFont="1" applyBorder="1" applyAlignment="1">
      <alignment horizontal="left" vertical="center" wrapText="1"/>
    </xf>
    <xf numFmtId="172" fontId="10" fillId="0" borderId="14" xfId="0" applyNumberFormat="1" applyFont="1" applyBorder="1" applyAlignment="1">
      <alignment horizontal="center" vertical="center"/>
    </xf>
    <xf numFmtId="167" fontId="24" fillId="0" borderId="58" xfId="0" applyNumberFormat="1" applyFont="1" applyBorder="1" applyAlignment="1">
      <alignment horizontal="center" vertical="center" wrapText="1"/>
    </xf>
    <xf numFmtId="0" fontId="24" fillId="0" borderId="21" xfId="0" applyFont="1" applyFill="1" applyBorder="1" applyAlignment="1">
      <alignment horizontal="center" vertical="center"/>
    </xf>
    <xf numFmtId="0" fontId="24" fillId="0" borderId="34" xfId="0" applyFont="1" applyBorder="1" applyAlignment="1">
      <alignment horizontal="left" vertical="center" wrapText="1"/>
    </xf>
    <xf numFmtId="0" fontId="22" fillId="0" borderId="34" xfId="0" applyFont="1" applyBorder="1" applyAlignment="1">
      <alignment horizontal="left" vertical="center" wrapText="1"/>
    </xf>
    <xf numFmtId="0" fontId="15" fillId="0" borderId="100" xfId="0" applyFont="1" applyBorder="1" applyAlignment="1">
      <alignment horizontal="center" vertical="center" wrapText="1"/>
    </xf>
    <xf numFmtId="171" fontId="16" fillId="0" borderId="100" xfId="0" applyNumberFormat="1" applyFont="1" applyBorder="1" applyAlignment="1">
      <alignment horizontal="center" vertical="center" wrapText="1"/>
    </xf>
    <xf numFmtId="0" fontId="26" fillId="0" borderId="14" xfId="0" applyFont="1" applyBorder="1" applyAlignment="1">
      <alignment wrapText="1"/>
    </xf>
    <xf numFmtId="2" fontId="16" fillId="0" borderId="14" xfId="0" applyNumberFormat="1" applyFont="1" applyBorder="1" applyAlignment="1">
      <alignment horizontal="center" vertical="center"/>
    </xf>
    <xf numFmtId="167" fontId="25" fillId="0" borderId="19" xfId="0" applyNumberFormat="1" applyFont="1" applyBorder="1" applyAlignment="1">
      <alignment horizontal="center" vertical="center" wrapText="1"/>
    </xf>
    <xf numFmtId="0" fontId="24" fillId="0" borderId="18" xfId="0" applyFont="1" applyBorder="1"/>
    <xf numFmtId="0" fontId="25" fillId="0" borderId="109" xfId="0" applyFont="1" applyBorder="1" applyAlignment="1">
      <alignment horizontal="right" vertical="center"/>
    </xf>
    <xf numFmtId="2" fontId="25" fillId="0" borderId="109" xfId="0" applyNumberFormat="1" applyFont="1" applyBorder="1" applyAlignment="1">
      <alignment horizontal="center" vertical="center"/>
    </xf>
    <xf numFmtId="0" fontId="24" fillId="0" borderId="110" xfId="0" applyFont="1" applyBorder="1"/>
    <xf numFmtId="0" fontId="22" fillId="0" borderId="100" xfId="0" applyFont="1" applyBorder="1" applyAlignment="1">
      <alignment horizontal="center" vertical="center" wrapText="1"/>
    </xf>
    <xf numFmtId="171" fontId="22" fillId="0" borderId="100" xfId="0" applyNumberFormat="1" applyFont="1" applyBorder="1" applyAlignment="1">
      <alignment horizontal="center" vertical="center" wrapText="1"/>
    </xf>
    <xf numFmtId="0" fontId="18" fillId="6" borderId="59" xfId="0" applyFont="1" applyFill="1" applyBorder="1" applyAlignment="1">
      <alignment horizontal="center" vertical="center" wrapText="1"/>
    </xf>
    <xf numFmtId="0" fontId="24" fillId="0" borderId="45" xfId="0" applyFont="1" applyBorder="1" applyAlignment="1">
      <alignment horizontal="center" vertical="center"/>
    </xf>
    <xf numFmtId="0" fontId="16" fillId="0" borderId="21" xfId="0" applyFont="1" applyBorder="1" applyAlignment="1">
      <alignment vertical="center"/>
    </xf>
    <xf numFmtId="0" fontId="22" fillId="0" borderId="22" xfId="0" applyFont="1" applyBorder="1" applyAlignment="1">
      <alignment horizontal="justify" vertical="center" wrapText="1"/>
    </xf>
    <xf numFmtId="167" fontId="22" fillId="0" borderId="41" xfId="0" applyNumberFormat="1" applyFont="1" applyBorder="1" applyAlignment="1">
      <alignment horizontal="center" vertical="center" wrapText="1"/>
    </xf>
    <xf numFmtId="0" fontId="10" fillId="0" borderId="102" xfId="0" applyFont="1" applyFill="1" applyBorder="1" applyAlignment="1">
      <alignment horizontal="center" vertical="center"/>
    </xf>
    <xf numFmtId="0" fontId="10" fillId="0" borderId="100" xfId="0" quotePrefix="1" applyFont="1" applyBorder="1" applyAlignment="1">
      <alignment horizontal="left" vertical="center" wrapText="1"/>
    </xf>
    <xf numFmtId="0" fontId="16" fillId="0" borderId="100" xfId="0" applyFont="1" applyBorder="1" applyAlignment="1">
      <alignment horizontal="center" vertical="center" wrapText="1"/>
    </xf>
    <xf numFmtId="171" fontId="10" fillId="0" borderId="100" xfId="0" applyNumberFormat="1" applyFont="1" applyBorder="1" applyAlignment="1">
      <alignment horizontal="center" vertical="center"/>
    </xf>
    <xf numFmtId="167" fontId="16" fillId="0" borderId="16" xfId="0" applyNumberFormat="1" applyFont="1" applyBorder="1" applyAlignment="1">
      <alignment horizontal="center" vertical="center" wrapText="1"/>
    </xf>
    <xf numFmtId="0" fontId="24" fillId="0" borderId="23" xfId="0" applyFont="1" applyBorder="1" applyAlignment="1">
      <alignment horizontal="center" vertical="center"/>
    </xf>
    <xf numFmtId="167" fontId="24" fillId="0" borderId="14" xfId="0" applyNumberFormat="1" applyFont="1" applyBorder="1" applyAlignment="1">
      <alignment horizontal="center" vertical="center" wrapText="1"/>
    </xf>
    <xf numFmtId="0" fontId="10" fillId="0" borderId="14" xfId="0" applyFont="1" applyBorder="1" applyAlignment="1">
      <alignment horizontal="justify" vertical="center" wrapText="1"/>
    </xf>
    <xf numFmtId="172" fontId="11" fillId="0" borderId="14" xfId="0" applyNumberFormat="1" applyFont="1" applyBorder="1" applyAlignment="1">
      <alignment horizontal="center" vertical="center"/>
    </xf>
    <xf numFmtId="167" fontId="11" fillId="0" borderId="19" xfId="0" applyNumberFormat="1" applyFont="1" applyBorder="1" applyAlignment="1">
      <alignment horizontal="center" vertical="center"/>
    </xf>
    <xf numFmtId="0" fontId="32" fillId="0" borderId="21" xfId="5" applyFont="1" applyBorder="1" applyAlignment="1">
      <alignment horizontal="center" vertical="center" wrapText="1"/>
    </xf>
    <xf numFmtId="0" fontId="32" fillId="0" borderId="22" xfId="5" applyFont="1" applyBorder="1" applyAlignment="1">
      <alignment horizontal="left" vertical="center" wrapText="1"/>
    </xf>
    <xf numFmtId="167" fontId="11" fillId="0" borderId="22" xfId="0" applyNumberFormat="1" applyFont="1" applyBorder="1" applyAlignment="1">
      <alignment vertical="center" wrapText="1"/>
    </xf>
    <xf numFmtId="167" fontId="11" fillId="0" borderId="22" xfId="0" applyNumberFormat="1" applyFont="1" applyBorder="1" applyAlignment="1">
      <alignment vertical="center"/>
    </xf>
    <xf numFmtId="4" fontId="18" fillId="6" borderId="20" xfId="0" applyNumberFormat="1" applyFont="1" applyFill="1" applyBorder="1" applyAlignment="1">
      <alignment horizontal="right" vertical="center"/>
    </xf>
    <xf numFmtId="167" fontId="18" fillId="0" borderId="41" xfId="0" applyNumberFormat="1" applyFont="1" applyBorder="1" applyAlignment="1">
      <alignment horizontal="center" vertical="center"/>
    </xf>
    <xf numFmtId="167" fontId="10" fillId="0" borderId="100" xfId="0" applyNumberFormat="1" applyFont="1" applyFill="1" applyBorder="1" applyAlignment="1">
      <alignment horizontal="center" vertical="center"/>
    </xf>
    <xf numFmtId="0" fontId="32" fillId="0" borderId="24" xfId="5" applyFont="1" applyFill="1" applyBorder="1" applyAlignment="1">
      <alignment horizontal="center" vertical="center" wrapText="1"/>
    </xf>
    <xf numFmtId="4" fontId="18" fillId="0" borderId="100" xfId="0" applyNumberFormat="1" applyFont="1" applyFill="1" applyBorder="1" applyAlignment="1">
      <alignment horizontal="right" vertical="center"/>
    </xf>
    <xf numFmtId="0" fontId="22" fillId="0" borderId="100" xfId="0" applyFont="1" applyFill="1" applyBorder="1" applyAlignment="1">
      <alignment horizontal="justify" vertical="center" wrapText="1"/>
    </xf>
    <xf numFmtId="0" fontId="16" fillId="0" borderId="100" xfId="0" applyFont="1" applyFill="1" applyBorder="1" applyAlignment="1">
      <alignment horizontal="center" vertical="center" wrapText="1"/>
    </xf>
    <xf numFmtId="179" fontId="24" fillId="0" borderId="100" xfId="0" applyNumberFormat="1" applyFont="1" applyFill="1" applyBorder="1" applyAlignment="1">
      <alignment horizontal="center" vertical="center" wrapText="1"/>
    </xf>
    <xf numFmtId="171" fontId="24" fillId="0" borderId="100" xfId="0" applyNumberFormat="1" applyFont="1" applyFill="1" applyBorder="1" applyAlignment="1">
      <alignment horizontal="center" vertical="center" wrapText="1"/>
    </xf>
    <xf numFmtId="167" fontId="24" fillId="0" borderId="100" xfId="0" applyNumberFormat="1" applyFont="1" applyFill="1" applyBorder="1" applyAlignment="1">
      <alignment horizontal="center" vertical="center" wrapText="1"/>
    </xf>
    <xf numFmtId="0" fontId="11" fillId="0" borderId="100" xfId="0" applyFont="1" applyFill="1" applyBorder="1" applyAlignment="1">
      <alignment vertical="center" wrapText="1"/>
    </xf>
    <xf numFmtId="167" fontId="11" fillId="0" borderId="100" xfId="0" applyNumberFormat="1" applyFont="1" applyFill="1" applyBorder="1" applyAlignment="1">
      <alignment vertical="center" wrapText="1"/>
    </xf>
    <xf numFmtId="167" fontId="11" fillId="0" borderId="100" xfId="0" applyNumberFormat="1" applyFont="1" applyFill="1" applyBorder="1" applyAlignment="1">
      <alignment vertical="center"/>
    </xf>
    <xf numFmtId="167" fontId="25" fillId="0" borderId="107" xfId="0" applyNumberFormat="1" applyFont="1" applyFill="1" applyBorder="1" applyAlignment="1">
      <alignment horizontal="center" vertical="center" wrapText="1"/>
    </xf>
    <xf numFmtId="0" fontId="18" fillId="4" borderId="21" xfId="0" applyFont="1" applyFill="1" applyBorder="1" applyAlignment="1">
      <alignment vertical="center"/>
    </xf>
    <xf numFmtId="0" fontId="18" fillId="0" borderId="22" xfId="0" applyFont="1" applyBorder="1" applyAlignment="1">
      <alignment horizontal="justify" vertical="center" wrapText="1"/>
    </xf>
    <xf numFmtId="0" fontId="18" fillId="0" borderId="22" xfId="0" applyFont="1" applyBorder="1" applyAlignment="1">
      <alignment horizontal="center" vertical="center" wrapText="1"/>
    </xf>
    <xf numFmtId="171" fontId="18" fillId="0" borderId="22" xfId="0" applyNumberFormat="1" applyFont="1" applyBorder="1" applyAlignment="1">
      <alignment horizontal="center" vertical="center" wrapText="1"/>
    </xf>
    <xf numFmtId="167" fontId="18" fillId="0" borderId="22" xfId="0" applyNumberFormat="1" applyFont="1" applyBorder="1" applyAlignment="1">
      <alignment horizontal="center" vertical="center" wrapText="1"/>
    </xf>
    <xf numFmtId="167" fontId="18" fillId="0" borderId="41" xfId="0" applyNumberFormat="1" applyFont="1" applyBorder="1" applyAlignment="1">
      <alignment horizontal="center" vertical="center" wrapText="1"/>
    </xf>
    <xf numFmtId="0" fontId="24" fillId="0" borderId="41" xfId="0" applyFont="1" applyBorder="1" applyAlignment="1">
      <alignment horizontal="center" vertical="center" wrapText="1"/>
    </xf>
    <xf numFmtId="172" fontId="24" fillId="0" borderId="100" xfId="0" applyNumberFormat="1" applyFont="1" applyBorder="1" applyAlignment="1">
      <alignment horizontal="center" vertical="center" wrapText="1"/>
    </xf>
    <xf numFmtId="0" fontId="22" fillId="0" borderId="14" xfId="0" applyFont="1" applyBorder="1" applyAlignment="1">
      <alignment horizontal="justify" vertical="center" wrapText="1"/>
    </xf>
    <xf numFmtId="0" fontId="18" fillId="6" borderId="14" xfId="0" applyFont="1" applyFill="1" applyBorder="1" applyAlignment="1">
      <alignment horizontal="center" vertical="center" wrapText="1"/>
    </xf>
    <xf numFmtId="172" fontId="24" fillId="0" borderId="22" xfId="0" applyNumberFormat="1" applyFont="1" applyBorder="1" applyAlignment="1">
      <alignment horizontal="center" vertical="center" wrapText="1"/>
    </xf>
    <xf numFmtId="167" fontId="10" fillId="0" borderId="20" xfId="0" applyNumberFormat="1" applyFont="1" applyBorder="1" applyAlignment="1">
      <alignment horizontal="center" vertical="center"/>
    </xf>
    <xf numFmtId="167" fontId="10" fillId="0" borderId="41" xfId="0" applyNumberFormat="1" applyFont="1" applyBorder="1" applyAlignment="1">
      <alignment horizontal="center" vertical="center"/>
    </xf>
    <xf numFmtId="172" fontId="24" fillId="0" borderId="14" xfId="0" applyNumberFormat="1" applyFont="1" applyBorder="1" applyAlignment="1">
      <alignment horizontal="center" vertical="center" wrapText="1"/>
    </xf>
    <xf numFmtId="167" fontId="10" fillId="0" borderId="19" xfId="0" applyNumberFormat="1" applyFont="1" applyBorder="1" applyAlignment="1">
      <alignment horizontal="center" vertical="center"/>
    </xf>
    <xf numFmtId="0" fontId="18" fillId="0" borderId="21" xfId="0" applyFont="1" applyBorder="1" applyAlignment="1">
      <alignment vertical="center" wrapText="1"/>
    </xf>
    <xf numFmtId="0" fontId="11" fillId="0" borderId="22" xfId="0" applyFont="1" applyBorder="1" applyAlignment="1">
      <alignment vertical="center" wrapText="1"/>
    </xf>
    <xf numFmtId="4" fontId="18" fillId="6" borderId="22" xfId="0" applyNumberFormat="1" applyFont="1" applyFill="1" applyBorder="1" applyAlignment="1">
      <alignment horizontal="right" vertical="center"/>
    </xf>
    <xf numFmtId="167" fontId="25" fillId="0" borderId="41" xfId="0" applyNumberFormat="1" applyFont="1" applyBorder="1" applyAlignment="1">
      <alignment horizontal="center" vertical="center" wrapText="1"/>
    </xf>
    <xf numFmtId="0" fontId="11" fillId="0" borderId="23" xfId="0" applyFont="1" applyFill="1" applyBorder="1" applyAlignment="1">
      <alignment horizontal="center" vertical="center"/>
    </xf>
    <xf numFmtId="0" fontId="84" fillId="0" borderId="96" xfId="0" applyFont="1" applyBorder="1" applyAlignment="1">
      <alignment horizontal="left" vertical="center" wrapText="1"/>
    </xf>
    <xf numFmtId="0" fontId="11" fillId="0" borderId="14" xfId="0" quotePrefix="1" applyFont="1" applyFill="1" applyBorder="1" applyAlignment="1">
      <alignment horizontal="center" vertical="center" wrapText="1"/>
    </xf>
    <xf numFmtId="167" fontId="11" fillId="3" borderId="14" xfId="0" applyNumberFormat="1" applyFont="1" applyFill="1" applyBorder="1" applyAlignment="1">
      <alignment horizontal="right" vertical="center"/>
    </xf>
    <xf numFmtId="4" fontId="11" fillId="0" borderId="19" xfId="0" applyNumberFormat="1" applyFont="1" applyBorder="1" applyAlignment="1">
      <alignment horizontal="right" vertical="center"/>
    </xf>
    <xf numFmtId="0" fontId="11" fillId="0" borderId="21" xfId="0" applyFont="1" applyFill="1" applyBorder="1" applyAlignment="1">
      <alignment horizontal="center" vertical="center"/>
    </xf>
    <xf numFmtId="0" fontId="16" fillId="0" borderId="34" xfId="0" applyNumberFormat="1" applyFont="1" applyBorder="1" applyAlignment="1">
      <alignment horizontal="center" vertical="center"/>
    </xf>
    <xf numFmtId="0" fontId="16" fillId="0" borderId="22" xfId="0" applyFont="1" applyBorder="1" applyAlignment="1">
      <alignment horizontal="left" vertical="center" wrapText="1"/>
    </xf>
    <xf numFmtId="0" fontId="28" fillId="0" borderId="22" xfId="0" applyFont="1" applyBorder="1" applyAlignment="1">
      <alignment horizontal="center" vertical="center"/>
    </xf>
    <xf numFmtId="4" fontId="11" fillId="0" borderId="22" xfId="0" applyNumberFormat="1" applyFont="1" applyFill="1" applyBorder="1" applyAlignment="1">
      <alignment horizontal="right" vertical="center" wrapText="1"/>
    </xf>
    <xf numFmtId="167" fontId="11" fillId="3" borderId="22" xfId="0" applyNumberFormat="1" applyFont="1" applyFill="1" applyBorder="1" applyAlignment="1">
      <alignment horizontal="right" vertical="center"/>
    </xf>
    <xf numFmtId="4" fontId="11" fillId="0" borderId="22" xfId="0" applyNumberFormat="1" applyFont="1" applyBorder="1" applyAlignment="1">
      <alignment horizontal="right" vertical="center"/>
    </xf>
    <xf numFmtId="4" fontId="11" fillId="0" borderId="41" xfId="0" applyNumberFormat="1" applyFont="1" applyBorder="1" applyAlignment="1">
      <alignment horizontal="right" vertical="center"/>
    </xf>
    <xf numFmtId="0" fontId="11" fillId="0" borderId="40" xfId="0" quotePrefix="1" applyFont="1" applyBorder="1" applyAlignment="1">
      <alignment horizontal="left" vertical="center"/>
    </xf>
    <xf numFmtId="4" fontId="11" fillId="0" borderId="100" xfId="0" applyNumberFormat="1" applyFont="1" applyFill="1" applyBorder="1" applyAlignment="1">
      <alignment horizontal="right" vertical="center" wrapText="1"/>
    </xf>
    <xf numFmtId="4" fontId="11" fillId="0" borderId="100" xfId="0" applyNumberFormat="1" applyFont="1" applyBorder="1" applyAlignment="1">
      <alignment horizontal="right" vertical="center"/>
    </xf>
    <xf numFmtId="0" fontId="11" fillId="0" borderId="102" xfId="0" quotePrefix="1" applyFont="1" applyBorder="1" applyAlignment="1">
      <alignment horizontal="center" vertical="center"/>
    </xf>
    <xf numFmtId="0" fontId="11" fillId="0" borderId="109" xfId="0" quotePrefix="1" applyFont="1" applyBorder="1" applyAlignment="1">
      <alignment horizontal="center" vertical="center"/>
    </xf>
    <xf numFmtId="0" fontId="11" fillId="0" borderId="109" xfId="0" quotePrefix="1" applyFont="1" applyBorder="1" applyAlignment="1">
      <alignment horizontal="left" vertical="center" wrapText="1"/>
    </xf>
    <xf numFmtId="2" fontId="11" fillId="0" borderId="109" xfId="0" applyNumberFormat="1" applyFont="1" applyBorder="1" applyAlignment="1">
      <alignment horizontal="right" vertical="center"/>
    </xf>
    <xf numFmtId="0" fontId="11" fillId="0" borderId="109" xfId="0" applyFont="1" applyBorder="1" applyAlignment="1">
      <alignment horizontal="right" vertical="center"/>
    </xf>
    <xf numFmtId="4" fontId="11" fillId="0" borderId="109" xfId="0" applyNumberFormat="1" applyFont="1" applyBorder="1" applyAlignment="1">
      <alignment horizontal="right" vertical="center"/>
    </xf>
    <xf numFmtId="10" fontId="18" fillId="0" borderId="109" xfId="0" applyNumberFormat="1" applyFont="1" applyBorder="1" applyAlignment="1">
      <alignment horizontal="right" vertical="center"/>
    </xf>
    <xf numFmtId="4" fontId="18" fillId="0" borderId="110" xfId="0" applyNumberFormat="1" applyFont="1" applyBorder="1" applyAlignment="1">
      <alignment horizontal="right" vertical="center"/>
    </xf>
    <xf numFmtId="0" fontId="10" fillId="6" borderId="6" xfId="0" applyFont="1" applyFill="1" applyBorder="1" applyAlignment="1">
      <alignment horizontal="center" vertical="center"/>
    </xf>
    <xf numFmtId="0" fontId="16" fillId="0" borderId="109" xfId="0" applyFont="1" applyBorder="1" applyAlignment="1">
      <alignment horizontal="left" vertical="center" wrapText="1"/>
    </xf>
    <xf numFmtId="0" fontId="11" fillId="0" borderId="109" xfId="0" applyNumberFormat="1" applyFont="1" applyBorder="1" applyAlignment="1">
      <alignment horizontal="center" vertical="center"/>
    </xf>
    <xf numFmtId="2" fontId="11" fillId="0" borderId="109" xfId="0" applyNumberFormat="1" applyFont="1" applyFill="1" applyBorder="1" applyAlignment="1">
      <alignment horizontal="right" vertical="center"/>
    </xf>
    <xf numFmtId="166" fontId="18" fillId="2" borderId="17" xfId="0" quotePrefix="1" applyNumberFormat="1" applyFont="1" applyFill="1" applyBorder="1" applyAlignment="1">
      <alignment horizontal="center" vertical="center"/>
    </xf>
    <xf numFmtId="0" fontId="18" fillId="2" borderId="59" xfId="0" quotePrefix="1" applyFont="1" applyFill="1" applyBorder="1" applyAlignment="1">
      <alignment horizontal="center" vertical="center"/>
    </xf>
    <xf numFmtId="0" fontId="18" fillId="2" borderId="59" xfId="0" applyFont="1" applyFill="1" applyBorder="1" applyAlignment="1">
      <alignment horizontal="left" vertical="center" wrapText="1"/>
    </xf>
    <xf numFmtId="0" fontId="18" fillId="2" borderId="59" xfId="0" applyFont="1" applyFill="1" applyBorder="1" applyAlignment="1">
      <alignment horizontal="center" vertical="center" wrapText="1"/>
    </xf>
    <xf numFmtId="2" fontId="18" fillId="2" borderId="59" xfId="0" applyNumberFormat="1" applyFont="1" applyFill="1" applyBorder="1" applyAlignment="1">
      <alignment horizontal="right" vertical="center" wrapText="1"/>
    </xf>
    <xf numFmtId="0" fontId="18" fillId="2" borderId="59" xfId="0" applyFont="1" applyFill="1" applyBorder="1" applyAlignment="1">
      <alignment horizontal="right" vertical="center" wrapText="1"/>
    </xf>
    <xf numFmtId="4" fontId="18" fillId="2" borderId="59" xfId="0" applyNumberFormat="1" applyFont="1" applyFill="1" applyBorder="1" applyAlignment="1">
      <alignment horizontal="right" vertical="center" wrapText="1"/>
    </xf>
    <xf numFmtId="4" fontId="18" fillId="2" borderId="63" xfId="0" applyNumberFormat="1" applyFont="1" applyFill="1" applyBorder="1" applyAlignment="1">
      <alignment horizontal="center" vertical="center" wrapText="1"/>
    </xf>
    <xf numFmtId="0" fontId="11" fillId="0" borderId="99" xfId="0" quotePrefix="1" applyFont="1" applyBorder="1" applyAlignment="1">
      <alignment horizontal="left" vertical="center" wrapText="1"/>
    </xf>
    <xf numFmtId="0" fontId="18" fillId="32" borderId="100" xfId="0" quotePrefix="1" applyFont="1" applyFill="1" applyBorder="1" applyAlignment="1">
      <alignment horizontal="left" vertical="center"/>
    </xf>
    <xf numFmtId="0" fontId="18" fillId="32" borderId="21" xfId="0" applyFont="1" applyFill="1" applyBorder="1" applyAlignment="1">
      <alignment horizontal="center" vertical="center"/>
    </xf>
    <xf numFmtId="0" fontId="11" fillId="32" borderId="22" xfId="0" quotePrefix="1" applyFont="1" applyFill="1" applyBorder="1" applyAlignment="1">
      <alignment horizontal="center" vertical="center"/>
    </xf>
    <xf numFmtId="0" fontId="18" fillId="32" borderId="22" xfId="0" quotePrefix="1" applyFont="1" applyFill="1" applyBorder="1" applyAlignment="1">
      <alignment horizontal="left" vertical="center"/>
    </xf>
    <xf numFmtId="2" fontId="11" fillId="32" borderId="22" xfId="0" applyNumberFormat="1" applyFont="1" applyFill="1" applyBorder="1" applyAlignment="1">
      <alignment horizontal="right" vertical="center"/>
    </xf>
    <xf numFmtId="4" fontId="11" fillId="32" borderId="22" xfId="0" applyNumberFormat="1" applyFont="1" applyFill="1" applyBorder="1" applyAlignment="1">
      <alignment horizontal="right" vertical="center" wrapText="1"/>
    </xf>
    <xf numFmtId="4" fontId="11" fillId="32" borderId="22" xfId="0" applyNumberFormat="1" applyFont="1" applyFill="1" applyBorder="1" applyAlignment="1">
      <alignment horizontal="right" vertical="center"/>
    </xf>
    <xf numFmtId="4" fontId="11" fillId="32" borderId="41" xfId="0" applyNumberFormat="1" applyFont="1" applyFill="1" applyBorder="1" applyAlignment="1">
      <alignment horizontal="right" vertical="center"/>
    </xf>
    <xf numFmtId="0" fontId="16" fillId="0" borderId="14" xfId="0" applyFont="1" applyBorder="1" applyAlignment="1">
      <alignment horizontal="center" vertical="center"/>
    </xf>
    <xf numFmtId="0" fontId="31" fillId="0" borderId="109" xfId="0" applyNumberFormat="1" applyFont="1" applyBorder="1" applyAlignment="1">
      <alignment horizontal="center" vertical="center"/>
    </xf>
    <xf numFmtId="2" fontId="16" fillId="3" borderId="14" xfId="0" applyNumberFormat="1" applyFont="1" applyFill="1" applyBorder="1" applyAlignment="1">
      <alignment horizontal="right" vertical="center"/>
    </xf>
    <xf numFmtId="0" fontId="11" fillId="0" borderId="21" xfId="0" quotePrefix="1" applyFont="1" applyBorder="1" applyAlignment="1">
      <alignment horizontal="center" vertical="center"/>
    </xf>
    <xf numFmtId="0" fontId="16" fillId="0" borderId="22" xfId="0" applyFont="1" applyBorder="1" applyAlignment="1">
      <alignment horizontal="center" vertical="center"/>
    </xf>
    <xf numFmtId="0" fontId="11" fillId="0" borderId="22" xfId="0" applyFont="1" applyFill="1" applyBorder="1" applyAlignment="1">
      <alignment horizontal="left" vertical="center" wrapText="1"/>
    </xf>
    <xf numFmtId="0" fontId="31" fillId="0" borderId="22" xfId="0" applyNumberFormat="1" applyFont="1" applyBorder="1" applyAlignment="1">
      <alignment horizontal="center" vertical="center"/>
    </xf>
    <xf numFmtId="2" fontId="16" fillId="3" borderId="22" xfId="0" applyNumberFormat="1" applyFont="1" applyFill="1" applyBorder="1" applyAlignment="1">
      <alignment horizontal="right" vertical="center"/>
    </xf>
    <xf numFmtId="2" fontId="16" fillId="3" borderId="100" xfId="0" applyNumberFormat="1" applyFont="1" applyFill="1" applyBorder="1" applyAlignment="1">
      <alignment horizontal="right" vertical="center"/>
    </xf>
    <xf numFmtId="0" fontId="11" fillId="0" borderId="101" xfId="0" applyFont="1" applyFill="1" applyBorder="1" applyAlignment="1">
      <alignment horizontal="center" vertical="center"/>
    </xf>
    <xf numFmtId="0" fontId="35" fillId="0" borderId="42" xfId="0" quotePrefix="1" applyFont="1" applyBorder="1" applyAlignment="1">
      <alignment horizontal="center" vertical="center"/>
    </xf>
    <xf numFmtId="0" fontId="35" fillId="0" borderId="111" xfId="0" quotePrefix="1" applyFont="1" applyBorder="1" applyAlignment="1">
      <alignment horizontal="center" vertical="center"/>
    </xf>
    <xf numFmtId="0" fontId="11" fillId="0" borderId="100" xfId="0" applyFont="1" applyFill="1" applyBorder="1" applyAlignment="1">
      <alignment horizontal="left" vertical="center" wrapText="1"/>
    </xf>
    <xf numFmtId="0" fontId="11" fillId="0" borderId="14" xfId="0" applyNumberFormat="1" applyFont="1" applyBorder="1" applyAlignment="1">
      <alignment horizontal="center" vertical="center"/>
    </xf>
    <xf numFmtId="2" fontId="11" fillId="3" borderId="14" xfId="0" applyNumberFormat="1" applyFont="1" applyFill="1" applyBorder="1" applyAlignment="1">
      <alignment horizontal="right" vertical="center"/>
    </xf>
    <xf numFmtId="4" fontId="11" fillId="3" borderId="14" xfId="0" applyNumberFormat="1" applyFont="1" applyFill="1" applyBorder="1" applyAlignment="1">
      <alignment horizontal="right" vertical="center"/>
    </xf>
    <xf numFmtId="0" fontId="11" fillId="0" borderId="82" xfId="0" applyFont="1" applyBorder="1" applyAlignment="1">
      <alignment horizontal="center" vertical="center"/>
    </xf>
    <xf numFmtId="0" fontId="11" fillId="0" borderId="22" xfId="0" applyNumberFormat="1" applyFont="1" applyBorder="1" applyAlignment="1">
      <alignment horizontal="center" vertical="center"/>
    </xf>
    <xf numFmtId="4" fontId="11" fillId="3" borderId="22" xfId="0" applyNumberFormat="1" applyFont="1" applyFill="1" applyBorder="1" applyAlignment="1">
      <alignment horizontal="right" vertical="center"/>
    </xf>
    <xf numFmtId="0" fontId="11" fillId="0" borderId="45" xfId="0" quotePrefix="1" applyFont="1" applyBorder="1" applyAlignment="1">
      <alignment horizontal="center" vertical="center"/>
    </xf>
    <xf numFmtId="0" fontId="11" fillId="0" borderId="22" xfId="0" applyFont="1" applyFill="1" applyBorder="1" applyAlignment="1">
      <alignment horizontal="center" vertical="center"/>
    </xf>
    <xf numFmtId="0" fontId="11" fillId="0" borderId="22" xfId="0" applyFont="1" applyBorder="1" applyAlignment="1">
      <alignment horizontal="left" vertical="center" wrapText="1"/>
    </xf>
    <xf numFmtId="2" fontId="11" fillId="3" borderId="22" xfId="1" applyNumberFormat="1" applyFont="1" applyFill="1" applyBorder="1" applyAlignment="1" applyProtection="1">
      <alignment horizontal="right" vertical="center"/>
      <protection locked="0"/>
    </xf>
    <xf numFmtId="4" fontId="11" fillId="0" borderId="83" xfId="0" applyNumberFormat="1" applyFont="1" applyBorder="1" applyAlignment="1">
      <alignment horizontal="right" vertical="center"/>
    </xf>
    <xf numFmtId="4" fontId="11" fillId="0" borderId="20" xfId="0" applyNumberFormat="1" applyFont="1" applyFill="1" applyBorder="1" applyAlignment="1">
      <alignment horizontal="right" vertical="center" wrapText="1"/>
    </xf>
    <xf numFmtId="4" fontId="11" fillId="0" borderId="49" xfId="0" applyNumberFormat="1" applyFont="1" applyBorder="1" applyAlignment="1">
      <alignment horizontal="right" vertical="center"/>
    </xf>
    <xf numFmtId="0" fontId="11" fillId="0" borderId="14" xfId="0" applyFont="1" applyFill="1" applyBorder="1" applyAlignment="1">
      <alignment horizontal="center" vertical="center"/>
    </xf>
    <xf numFmtId="2" fontId="11" fillId="3" borderId="14" xfId="1" applyNumberFormat="1" applyFont="1" applyFill="1" applyBorder="1" applyAlignment="1" applyProtection="1">
      <alignment horizontal="right" vertical="center"/>
      <protection locked="0"/>
    </xf>
    <xf numFmtId="4" fontId="11" fillId="0" borderId="42" xfId="0" applyNumberFormat="1" applyFont="1" applyBorder="1" applyAlignment="1">
      <alignment horizontal="right" vertical="center"/>
    </xf>
    <xf numFmtId="2" fontId="11" fillId="3" borderId="14" xfId="1" applyNumberFormat="1" applyFont="1" applyFill="1" applyBorder="1" applyAlignment="1">
      <alignment horizontal="right" vertical="center"/>
    </xf>
    <xf numFmtId="0" fontId="11" fillId="0" borderId="14" xfId="0" quotePrefix="1" applyFont="1" applyFill="1" applyBorder="1" applyAlignment="1">
      <alignment horizontal="left" vertical="center" wrapText="1"/>
    </xf>
    <xf numFmtId="4" fontId="11" fillId="3" borderId="14" xfId="0" applyNumberFormat="1" applyFont="1" applyFill="1" applyBorder="1" applyAlignment="1">
      <alignment horizontal="right" vertical="center" wrapText="1"/>
    </xf>
    <xf numFmtId="0" fontId="11" fillId="0" borderId="51" xfId="0" quotePrefix="1" applyFont="1" applyBorder="1" applyAlignment="1">
      <alignment horizontal="center" vertical="center"/>
    </xf>
    <xf numFmtId="0" fontId="11" fillId="0" borderId="22" xfId="0" quotePrefix="1" applyFont="1" applyFill="1" applyBorder="1" applyAlignment="1">
      <alignment horizontal="left" vertical="center" wrapText="1"/>
    </xf>
    <xf numFmtId="4" fontId="11" fillId="3" borderId="22" xfId="0" applyNumberFormat="1" applyFont="1" applyFill="1" applyBorder="1" applyAlignment="1">
      <alignment horizontal="right" vertical="center" wrapText="1"/>
    </xf>
    <xf numFmtId="43" fontId="11" fillId="0" borderId="14" xfId="1" applyFont="1" applyFill="1" applyBorder="1" applyAlignment="1">
      <alignment horizontal="center" vertical="center"/>
    </xf>
    <xf numFmtId="0" fontId="10" fillId="0" borderId="22" xfId="0" applyFont="1" applyFill="1" applyBorder="1" applyAlignment="1">
      <alignment horizontal="center" vertical="center"/>
    </xf>
    <xf numFmtId="43" fontId="11" fillId="0" borderId="22" xfId="1" applyFont="1" applyFill="1" applyBorder="1" applyAlignment="1">
      <alignment horizontal="center" vertical="center"/>
    </xf>
    <xf numFmtId="4" fontId="11" fillId="3" borderId="100" xfId="0" applyNumberFormat="1" applyFont="1" applyFill="1" applyBorder="1" applyAlignment="1">
      <alignment horizontal="right" vertical="center" wrapText="1"/>
    </xf>
    <xf numFmtId="0" fontId="11" fillId="0" borderId="94" xfId="0" quotePrefix="1" applyFont="1" applyFill="1" applyBorder="1" applyAlignment="1">
      <alignment horizontal="center" vertical="center" wrapText="1"/>
    </xf>
    <xf numFmtId="0" fontId="11" fillId="0" borderId="73" xfId="0" quotePrefix="1" applyFont="1" applyFill="1" applyBorder="1" applyAlignment="1">
      <alignment horizontal="center" vertical="center"/>
    </xf>
    <xf numFmtId="0" fontId="16" fillId="0" borderId="14" xfId="1" applyNumberFormat="1" applyFont="1" applyFill="1" applyBorder="1" applyAlignment="1">
      <alignment horizontal="center" vertical="center"/>
    </xf>
    <xf numFmtId="0" fontId="11" fillId="0" borderId="14" xfId="0" applyFont="1" applyBorder="1" applyAlignment="1">
      <alignment horizontal="left" vertical="center" wrapText="1"/>
    </xf>
    <xf numFmtId="173" fontId="16" fillId="0" borderId="14" xfId="1" applyNumberFormat="1" applyFont="1" applyBorder="1" applyAlignment="1">
      <alignment horizontal="center" vertical="center"/>
    </xf>
    <xf numFmtId="0" fontId="11" fillId="0" borderId="51" xfId="0" quotePrefix="1" applyFont="1" applyFill="1" applyBorder="1" applyAlignment="1">
      <alignment horizontal="center" vertical="center"/>
    </xf>
    <xf numFmtId="0" fontId="16" fillId="0" borderId="22" xfId="1" applyNumberFormat="1" applyFont="1" applyFill="1" applyBorder="1" applyAlignment="1">
      <alignment horizontal="center" vertical="center"/>
    </xf>
    <xf numFmtId="173" fontId="16" fillId="0" borderId="22" xfId="1" applyNumberFormat="1" applyFont="1" applyBorder="1" applyAlignment="1">
      <alignment horizontal="center" vertical="center"/>
    </xf>
    <xf numFmtId="2" fontId="11" fillId="3" borderId="22" xfId="1" applyNumberFormat="1" applyFont="1" applyFill="1" applyBorder="1" applyAlignment="1">
      <alignment horizontal="right" vertical="center"/>
    </xf>
    <xf numFmtId="0" fontId="11" fillId="0" borderId="113" xfId="0" quotePrefix="1" applyFont="1" applyBorder="1" applyAlignment="1">
      <alignment horizontal="center" vertical="center"/>
    </xf>
    <xf numFmtId="4" fontId="11" fillId="6" borderId="100" xfId="0" applyNumberFormat="1" applyFont="1" applyFill="1" applyBorder="1" applyAlignment="1">
      <alignment horizontal="right" vertical="center"/>
    </xf>
    <xf numFmtId="10" fontId="18" fillId="0" borderId="100" xfId="0" applyNumberFormat="1" applyFont="1" applyBorder="1" applyAlignment="1">
      <alignment horizontal="right" vertical="center"/>
    </xf>
    <xf numFmtId="4" fontId="18" fillId="0" borderId="107" xfId="0" applyNumberFormat="1" applyFont="1" applyBorder="1" applyAlignment="1">
      <alignment horizontal="right" vertical="center"/>
    </xf>
    <xf numFmtId="173" fontId="11" fillId="3" borderId="100" xfId="0" applyNumberFormat="1" applyFont="1" applyFill="1" applyBorder="1" applyAlignment="1">
      <alignment horizontal="right" vertical="center" wrapText="1"/>
    </xf>
    <xf numFmtId="0" fontId="11" fillId="0" borderId="109" xfId="0" quotePrefix="1" applyFont="1" applyBorder="1" applyAlignment="1">
      <alignment horizontal="left" vertical="center"/>
    </xf>
    <xf numFmtId="4" fontId="11" fillId="6" borderId="14" xfId="0" applyNumberFormat="1" applyFont="1" applyFill="1" applyBorder="1" applyAlignment="1">
      <alignment horizontal="right" vertical="center"/>
    </xf>
    <xf numFmtId="0" fontId="11" fillId="0" borderId="102" xfId="0" applyFont="1" applyFill="1" applyBorder="1" applyAlignment="1">
      <alignment horizontal="center" vertical="center"/>
    </xf>
    <xf numFmtId="0" fontId="11" fillId="0" borderId="100" xfId="0" applyFont="1" applyBorder="1" applyAlignment="1">
      <alignment horizontal="left" vertical="center" wrapText="1"/>
    </xf>
    <xf numFmtId="173" fontId="16" fillId="0" borderId="100" xfId="1" applyNumberFormat="1" applyFont="1" applyBorder="1" applyAlignment="1">
      <alignment horizontal="center" vertical="center"/>
    </xf>
    <xf numFmtId="167" fontId="11" fillId="0" borderId="99" xfId="0" applyNumberFormat="1" applyFont="1" applyFill="1" applyBorder="1" applyAlignment="1">
      <alignment horizontal="right" vertical="center" wrapText="1"/>
    </xf>
    <xf numFmtId="0" fontId="18" fillId="33" borderId="36" xfId="0" applyFont="1" applyFill="1" applyBorder="1" applyAlignment="1">
      <alignment horizontal="center" vertical="center"/>
    </xf>
    <xf numFmtId="0" fontId="7" fillId="33" borderId="37" xfId="0" quotePrefix="1" applyFont="1" applyFill="1" applyBorder="1" applyAlignment="1">
      <alignment horizontal="center" vertical="center"/>
    </xf>
    <xf numFmtId="0" fontId="34" fillId="33" borderId="37" xfId="0" applyFont="1" applyFill="1" applyBorder="1" applyAlignment="1">
      <alignment horizontal="left" vertical="center" wrapText="1"/>
    </xf>
    <xf numFmtId="0" fontId="30" fillId="33" borderId="37" xfId="0" applyNumberFormat="1" applyFont="1" applyFill="1" applyBorder="1" applyAlignment="1">
      <alignment horizontal="center" vertical="center" wrapText="1"/>
    </xf>
    <xf numFmtId="167" fontId="11" fillId="33" borderId="38" xfId="0" applyNumberFormat="1" applyFont="1" applyFill="1" applyBorder="1" applyAlignment="1">
      <alignment horizontal="right" vertical="center" wrapText="1"/>
    </xf>
    <xf numFmtId="4" fontId="7" fillId="33" borderId="37" xfId="0" applyNumberFormat="1" applyFont="1" applyFill="1" applyBorder="1" applyAlignment="1">
      <alignment horizontal="right" vertical="center" wrapText="1"/>
    </xf>
    <xf numFmtId="4" fontId="11" fillId="33" borderId="56" xfId="0" applyNumberFormat="1" applyFont="1" applyFill="1" applyBorder="1" applyAlignment="1">
      <alignment horizontal="right" vertical="center"/>
    </xf>
    <xf numFmtId="4" fontId="11" fillId="33" borderId="39" xfId="0" applyNumberFormat="1" applyFont="1" applyFill="1" applyBorder="1" applyAlignment="1">
      <alignment horizontal="right" vertical="center"/>
    </xf>
    <xf numFmtId="0" fontId="18" fillId="33" borderId="31" xfId="0" applyFont="1" applyFill="1" applyBorder="1" applyAlignment="1">
      <alignment horizontal="center" vertical="center"/>
    </xf>
    <xf numFmtId="0" fontId="34" fillId="33" borderId="8" xfId="0" applyFont="1" applyFill="1" applyBorder="1" applyAlignment="1">
      <alignment horizontal="left" vertical="center" wrapText="1"/>
    </xf>
    <xf numFmtId="0" fontId="30" fillId="33" borderId="8" xfId="0" applyNumberFormat="1" applyFont="1" applyFill="1" applyBorder="1" applyAlignment="1">
      <alignment horizontal="center" vertical="center" wrapText="1"/>
    </xf>
    <xf numFmtId="167" fontId="11" fillId="33" borderId="81" xfId="0" applyNumberFormat="1" applyFont="1" applyFill="1" applyBorder="1" applyAlignment="1">
      <alignment horizontal="right" vertical="center" wrapText="1"/>
    </xf>
    <xf numFmtId="4" fontId="11" fillId="33" borderId="61" xfId="0" applyNumberFormat="1" applyFont="1" applyFill="1" applyBorder="1" applyAlignment="1">
      <alignment horizontal="right" vertical="center"/>
    </xf>
    <xf numFmtId="4" fontId="11" fillId="33" borderId="63" xfId="0" applyNumberFormat="1" applyFont="1" applyFill="1" applyBorder="1" applyAlignment="1">
      <alignment horizontal="right" vertical="center"/>
    </xf>
    <xf numFmtId="0" fontId="11" fillId="0" borderId="22" xfId="0" quotePrefix="1" applyFont="1" applyBorder="1" applyAlignment="1">
      <alignment horizontal="center" vertical="center"/>
    </xf>
    <xf numFmtId="167" fontId="11" fillId="0" borderId="82" xfId="0" applyNumberFormat="1" applyFont="1" applyFill="1" applyBorder="1" applyAlignment="1">
      <alignment horizontal="right" vertical="center" wrapText="1"/>
    </xf>
    <xf numFmtId="4" fontId="11" fillId="3" borderId="20" xfId="0" applyNumberFormat="1" applyFont="1" applyFill="1" applyBorder="1" applyAlignment="1">
      <alignment horizontal="right" vertical="center"/>
    </xf>
    <xf numFmtId="4" fontId="11" fillId="0" borderId="84" xfId="0" applyNumberFormat="1" applyFont="1" applyBorder="1" applyAlignment="1">
      <alignment horizontal="right" vertical="center"/>
    </xf>
    <xf numFmtId="0" fontId="28" fillId="0" borderId="100" xfId="0" applyFont="1" applyBorder="1" applyAlignment="1">
      <alignment horizontal="center" vertical="center"/>
    </xf>
    <xf numFmtId="167" fontId="11" fillId="0" borderId="40" xfId="0" applyNumberFormat="1" applyFont="1" applyFill="1" applyBorder="1" applyAlignment="1">
      <alignment horizontal="right" vertical="center" wrapText="1"/>
    </xf>
    <xf numFmtId="0" fontId="18" fillId="33" borderId="21" xfId="0" applyFont="1" applyFill="1" applyBorder="1" applyAlignment="1">
      <alignment horizontal="center" vertical="center"/>
    </xf>
    <xf numFmtId="0" fontId="7" fillId="33" borderId="22" xfId="0" quotePrefix="1" applyFont="1" applyFill="1" applyBorder="1" applyAlignment="1">
      <alignment horizontal="center" vertical="center"/>
    </xf>
    <xf numFmtId="0" fontId="34" fillId="33" borderId="22" xfId="0" applyFont="1" applyFill="1" applyBorder="1" applyAlignment="1">
      <alignment horizontal="left" vertical="center" wrapText="1"/>
    </xf>
    <xf numFmtId="0" fontId="30" fillId="33" borderId="22" xfId="0" applyNumberFormat="1" applyFont="1" applyFill="1" applyBorder="1" applyAlignment="1">
      <alignment horizontal="center" vertical="center" wrapText="1"/>
    </xf>
    <xf numFmtId="167" fontId="11" fillId="33" borderId="82" xfId="0" applyNumberFormat="1" applyFont="1" applyFill="1" applyBorder="1" applyAlignment="1">
      <alignment horizontal="right" vertical="center" wrapText="1"/>
    </xf>
    <xf numFmtId="4" fontId="7" fillId="33" borderId="22" xfId="0" applyNumberFormat="1" applyFont="1" applyFill="1" applyBorder="1" applyAlignment="1">
      <alignment horizontal="right" vertical="center" wrapText="1"/>
    </xf>
    <xf numFmtId="4" fontId="11" fillId="33" borderId="84" xfId="0" applyNumberFormat="1" applyFont="1" applyFill="1" applyBorder="1" applyAlignment="1">
      <alignment horizontal="right" vertical="center"/>
    </xf>
    <xf numFmtId="4" fontId="11" fillId="33" borderId="49" xfId="0" applyNumberFormat="1" applyFont="1" applyFill="1" applyBorder="1" applyAlignment="1">
      <alignment horizontal="right" vertical="center"/>
    </xf>
    <xf numFmtId="0" fontId="11" fillId="0" borderId="100" xfId="0" quotePrefix="1" applyFont="1" applyFill="1" applyBorder="1" applyAlignment="1">
      <alignment horizontal="center" vertical="center" wrapText="1"/>
    </xf>
    <xf numFmtId="0" fontId="11" fillId="0" borderId="26" xfId="0" applyFont="1" applyFill="1" applyBorder="1" applyAlignment="1">
      <alignment horizontal="center" vertical="center"/>
    </xf>
    <xf numFmtId="0" fontId="11" fillId="0" borderId="22" xfId="0" quotePrefix="1" applyFont="1" applyFill="1" applyBorder="1" applyAlignment="1">
      <alignment horizontal="center" vertical="center" wrapText="1"/>
    </xf>
    <xf numFmtId="167" fontId="11" fillId="0" borderId="27" xfId="0" applyNumberFormat="1" applyFont="1" applyFill="1" applyBorder="1" applyAlignment="1">
      <alignment horizontal="right" vertical="center" wrapText="1"/>
    </xf>
    <xf numFmtId="167" fontId="11" fillId="0" borderId="6" xfId="0" applyNumberFormat="1" applyFont="1" applyFill="1" applyBorder="1" applyAlignment="1">
      <alignment horizontal="right" vertical="center"/>
    </xf>
    <xf numFmtId="4" fontId="11" fillId="0" borderId="6" xfId="0" applyNumberFormat="1" applyFont="1" applyFill="1" applyBorder="1" applyAlignment="1">
      <alignment horizontal="right" vertical="center"/>
    </xf>
    <xf numFmtId="167" fontId="11" fillId="0" borderId="14" xfId="0" applyNumberFormat="1" applyFont="1" applyFill="1" applyBorder="1" applyAlignment="1">
      <alignment horizontal="right" vertical="center"/>
    </xf>
    <xf numFmtId="4" fontId="16" fillId="0" borderId="34" xfId="0" applyNumberFormat="1" applyFont="1" applyFill="1" applyBorder="1" applyAlignment="1">
      <alignment horizontal="right" vertical="center"/>
    </xf>
    <xf numFmtId="4" fontId="16" fillId="0" borderId="6" xfId="0" applyNumberFormat="1" applyFont="1" applyFill="1" applyBorder="1" applyAlignment="1">
      <alignment horizontal="right" vertical="center"/>
    </xf>
    <xf numFmtId="167" fontId="11" fillId="0" borderId="8" xfId="0" applyNumberFormat="1" applyFont="1" applyFill="1" applyBorder="1" applyAlignment="1">
      <alignment horizontal="right" vertical="center"/>
    </xf>
    <xf numFmtId="2" fontId="11" fillId="0" borderId="6" xfId="0" applyNumberFormat="1" applyFont="1" applyFill="1" applyBorder="1" applyAlignment="1">
      <alignment horizontal="right" vertical="center"/>
    </xf>
    <xf numFmtId="2" fontId="11" fillId="0" borderId="6" xfId="0" applyNumberFormat="1" applyFont="1" applyFill="1" applyBorder="1" applyAlignment="1">
      <alignment horizontal="right" vertical="center" wrapText="1"/>
    </xf>
    <xf numFmtId="2" fontId="11" fillId="0" borderId="100" xfId="0" applyNumberFormat="1" applyFont="1" applyFill="1" applyBorder="1" applyAlignment="1">
      <alignment horizontal="right" vertical="center"/>
    </xf>
    <xf numFmtId="167" fontId="11" fillId="0" borderId="22" xfId="0" applyNumberFormat="1" applyFont="1" applyFill="1" applyBorder="1" applyAlignment="1">
      <alignment horizontal="right" vertical="center"/>
    </xf>
    <xf numFmtId="167" fontId="11" fillId="0" borderId="100" xfId="0" applyNumberFormat="1" applyFont="1" applyFill="1" applyBorder="1" applyAlignment="1">
      <alignment horizontal="right" vertical="center"/>
    </xf>
    <xf numFmtId="2" fontId="11" fillId="0" borderId="14" xfId="0" applyNumberFormat="1" applyFont="1" applyFill="1" applyBorder="1" applyAlignment="1">
      <alignment horizontal="right" vertical="center"/>
    </xf>
    <xf numFmtId="2" fontId="11" fillId="0" borderId="22" xfId="0" applyNumberFormat="1" applyFont="1" applyFill="1" applyBorder="1" applyAlignment="1">
      <alignment horizontal="right" vertical="center"/>
    </xf>
    <xf numFmtId="2" fontId="11" fillId="0" borderId="14" xfId="0" applyNumberFormat="1" applyFont="1" applyFill="1" applyBorder="1" applyAlignment="1">
      <alignment vertical="center"/>
    </xf>
    <xf numFmtId="2" fontId="18" fillId="0" borderId="20" xfId="0" applyNumberFormat="1" applyFont="1" applyFill="1" applyBorder="1" applyAlignment="1">
      <alignment horizontal="center" vertical="center" wrapText="1"/>
    </xf>
    <xf numFmtId="2" fontId="11" fillId="0" borderId="6" xfId="0" applyNumberFormat="1" applyFont="1" applyFill="1" applyBorder="1" applyAlignment="1">
      <alignment vertical="center"/>
    </xf>
    <xf numFmtId="2" fontId="11" fillId="0" borderId="60" xfId="0" applyNumberFormat="1" applyFont="1" applyFill="1" applyBorder="1" applyAlignment="1">
      <alignment vertical="center"/>
    </xf>
    <xf numFmtId="0" fontId="11" fillId="0" borderId="22" xfId="0" quotePrefix="1" applyFont="1" applyFill="1" applyBorder="1" applyAlignment="1">
      <alignment horizontal="right" vertical="center" wrapText="1"/>
    </xf>
    <xf numFmtId="2" fontId="11" fillId="0" borderId="20" xfId="0" applyNumberFormat="1" applyFont="1" applyFill="1" applyBorder="1" applyAlignment="1">
      <alignment horizontal="right" vertical="center"/>
    </xf>
    <xf numFmtId="2" fontId="7" fillId="0" borderId="6" xfId="0" applyNumberFormat="1" applyFont="1" applyFill="1" applyBorder="1" applyAlignment="1">
      <alignment horizontal="center" vertical="center" wrapText="1"/>
    </xf>
    <xf numFmtId="2" fontId="7" fillId="0" borderId="22" xfId="0" applyNumberFormat="1" applyFont="1" applyFill="1" applyBorder="1" applyAlignment="1">
      <alignment horizontal="right" vertical="center" wrapText="1"/>
    </xf>
    <xf numFmtId="2" fontId="7" fillId="0" borderId="8" xfId="0" applyNumberFormat="1" applyFont="1" applyFill="1" applyBorder="1" applyAlignment="1">
      <alignment horizontal="right" vertical="center" wrapText="1"/>
    </xf>
    <xf numFmtId="2" fontId="11" fillId="0" borderId="22" xfId="0" applyNumberFormat="1" applyFont="1" applyFill="1" applyBorder="1" applyAlignment="1">
      <alignment horizontal="right" vertical="center" wrapText="1"/>
    </xf>
    <xf numFmtId="0" fontId="18" fillId="0" borderId="6" xfId="0" applyFont="1" applyFill="1" applyBorder="1" applyAlignment="1">
      <alignment horizontal="right" vertical="center" wrapText="1"/>
    </xf>
    <xf numFmtId="2" fontId="18" fillId="0" borderId="20" xfId="0" applyNumberFormat="1" applyFont="1" applyFill="1" applyBorder="1" applyAlignment="1">
      <alignment horizontal="right" vertical="center" wrapText="1"/>
    </xf>
    <xf numFmtId="2" fontId="11" fillId="0" borderId="9" xfId="0" applyNumberFormat="1" applyFont="1" applyFill="1" applyBorder="1" applyAlignment="1">
      <alignment horizontal="right" vertical="center"/>
    </xf>
    <xf numFmtId="2" fontId="7" fillId="0" borderId="20" xfId="0" applyNumberFormat="1" applyFont="1" applyFill="1" applyBorder="1" applyAlignment="1">
      <alignment horizontal="right" vertical="center" wrapText="1"/>
    </xf>
    <xf numFmtId="2" fontId="7" fillId="0" borderId="37" xfId="0" applyNumberFormat="1" applyFont="1" applyFill="1" applyBorder="1" applyAlignment="1">
      <alignment horizontal="right" vertical="center" wrapText="1"/>
    </xf>
    <xf numFmtId="2" fontId="7" fillId="0" borderId="6" xfId="0" applyNumberFormat="1" applyFont="1" applyFill="1" applyBorder="1" applyAlignment="1">
      <alignment horizontal="right" vertical="center" wrapText="1"/>
    </xf>
    <xf numFmtId="2" fontId="11" fillId="0" borderId="8" xfId="0" applyNumberFormat="1" applyFont="1" applyFill="1" applyBorder="1" applyAlignment="1">
      <alignment horizontal="right" vertical="center"/>
    </xf>
    <xf numFmtId="2" fontId="11" fillId="0" borderId="59" xfId="0" applyNumberFormat="1" applyFont="1" applyFill="1" applyBorder="1" applyAlignment="1">
      <alignment horizontal="right" vertical="center"/>
    </xf>
    <xf numFmtId="0" fontId="9" fillId="0" borderId="0" xfId="0" applyFont="1" applyBorder="1" applyAlignment="1">
      <alignment horizontal="left" vertical="center" wrapText="1"/>
    </xf>
    <xf numFmtId="0" fontId="9" fillId="0" borderId="46" xfId="0" applyFont="1" applyBorder="1" applyAlignment="1">
      <alignment horizontal="left" vertical="center" wrapText="1"/>
    </xf>
    <xf numFmtId="0" fontId="27" fillId="0" borderId="0" xfId="0" applyFont="1" applyBorder="1" applyAlignment="1">
      <alignment horizontal="center" vertical="center"/>
    </xf>
    <xf numFmtId="49" fontId="7" fillId="0" borderId="6" xfId="0" applyNumberFormat="1" applyFont="1" applyBorder="1" applyAlignment="1">
      <alignment horizontal="center" vertical="center"/>
    </xf>
    <xf numFmtId="0" fontId="19" fillId="0" borderId="37" xfId="0" applyFont="1" applyBorder="1" applyAlignment="1">
      <alignment horizontal="center" vertical="center" wrapText="1"/>
    </xf>
    <xf numFmtId="0" fontId="7" fillId="0" borderId="36" xfId="0" applyFont="1" applyFill="1" applyBorder="1" applyAlignment="1">
      <alignment horizontal="center" vertical="center" wrapText="1"/>
    </xf>
    <xf numFmtId="0" fontId="7" fillId="0" borderId="37" xfId="0" applyFont="1" applyFill="1" applyBorder="1" applyAlignment="1">
      <alignment horizontal="center" vertical="center" wrapText="1"/>
    </xf>
    <xf numFmtId="0" fontId="9" fillId="0" borderId="39" xfId="0" applyFont="1" applyBorder="1" applyAlignment="1">
      <alignment vertical="center"/>
    </xf>
    <xf numFmtId="49" fontId="7" fillId="0" borderId="45" xfId="0" applyNumberFormat="1" applyFont="1" applyFill="1" applyBorder="1" applyAlignment="1">
      <alignment horizontal="center" vertical="center" wrapText="1"/>
    </xf>
    <xf numFmtId="49" fontId="7" fillId="0" borderId="17" xfId="0" applyNumberFormat="1" applyFont="1" applyFill="1" applyBorder="1" applyAlignment="1">
      <alignment horizontal="center" vertical="center" wrapText="1"/>
    </xf>
    <xf numFmtId="0" fontId="9" fillId="0" borderId="18" xfId="0" applyFont="1" applyBorder="1" applyAlignment="1">
      <alignment horizontal="center" vertical="center" wrapText="1"/>
    </xf>
    <xf numFmtId="0" fontId="7" fillId="0" borderId="22" xfId="0" applyFont="1" applyFill="1" applyBorder="1" applyAlignment="1">
      <alignment horizontal="center" vertical="center"/>
    </xf>
    <xf numFmtId="0" fontId="7" fillId="0" borderId="6" xfId="0" applyFont="1" applyFill="1" applyBorder="1" applyAlignment="1">
      <alignment horizontal="center" vertical="center"/>
    </xf>
    <xf numFmtId="0" fontId="9"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4" xfId="0" applyFont="1" applyBorder="1" applyAlignment="1">
      <alignment horizontal="center" vertical="center"/>
    </xf>
    <xf numFmtId="0" fontId="9" fillId="0" borderId="28" xfId="0" applyFont="1" applyBorder="1" applyAlignment="1">
      <alignment vertical="center"/>
    </xf>
    <xf numFmtId="0" fontId="10" fillId="0" borderId="38"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55" xfId="0" applyFont="1" applyBorder="1" applyAlignment="1">
      <alignment horizontal="center" vertical="center" wrapText="1"/>
    </xf>
    <xf numFmtId="0" fontId="22" fillId="0" borderId="0" xfId="0" applyFont="1" applyBorder="1" applyAlignment="1">
      <alignment horizontal="center" vertical="center"/>
    </xf>
    <xf numFmtId="0" fontId="18" fillId="0" borderId="7" xfId="0" applyFont="1" applyBorder="1" applyAlignment="1">
      <alignment horizontal="left" vertical="center" wrapText="1"/>
    </xf>
    <xf numFmtId="0" fontId="18" fillId="0" borderId="10" xfId="0" applyFont="1" applyBorder="1" applyAlignment="1">
      <alignment horizontal="left" vertical="center" wrapText="1"/>
    </xf>
    <xf numFmtId="0" fontId="11" fillId="0" borderId="34"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vertical="center" wrapText="1"/>
    </xf>
    <xf numFmtId="0" fontId="0" fillId="0" borderId="0" xfId="0" applyFont="1" applyBorder="1" applyAlignment="1">
      <alignment vertical="center" wrapText="1"/>
    </xf>
    <xf numFmtId="0" fontId="11" fillId="0" borderId="46" xfId="0" applyFont="1" applyBorder="1" applyAlignment="1">
      <alignment vertical="center" wrapText="1"/>
    </xf>
    <xf numFmtId="0" fontId="0" fillId="0" borderId="46" xfId="0" applyFont="1" applyBorder="1" applyAlignment="1">
      <alignment vertical="center" wrapText="1"/>
    </xf>
    <xf numFmtId="0" fontId="7" fillId="0" borderId="54"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55" xfId="0" applyFont="1" applyBorder="1" applyAlignment="1">
      <alignment horizontal="center" vertical="center" wrapText="1"/>
    </xf>
    <xf numFmtId="0" fontId="7" fillId="0" borderId="5" xfId="0" applyFont="1" applyBorder="1" applyAlignment="1">
      <alignment horizontal="center" vertical="center" wrapText="1"/>
    </xf>
    <xf numFmtId="0" fontId="0" fillId="0" borderId="5" xfId="0" applyBorder="1" applyAlignment="1">
      <alignment horizontal="center" vertical="center" wrapText="1"/>
    </xf>
    <xf numFmtId="0" fontId="18" fillId="0" borderId="5" xfId="0" applyFont="1" applyBorder="1" applyAlignment="1">
      <alignment horizontal="left" vertical="center" wrapText="1"/>
    </xf>
    <xf numFmtId="0" fontId="0" fillId="0" borderId="4" xfId="0" applyFont="1" applyBorder="1" applyAlignment="1">
      <alignment vertical="center" wrapText="1"/>
    </xf>
    <xf numFmtId="0" fontId="0" fillId="0" borderId="10" xfId="0" applyFont="1" applyBorder="1" applyAlignment="1">
      <alignment vertical="center" wrapText="1"/>
    </xf>
    <xf numFmtId="0" fontId="19" fillId="0" borderId="36" xfId="0" applyFont="1" applyBorder="1" applyAlignment="1">
      <alignment horizontal="center" vertical="center" wrapText="1"/>
    </xf>
    <xf numFmtId="0" fontId="19" fillId="0" borderId="38" xfId="0" applyFont="1" applyBorder="1" applyAlignment="1">
      <alignment horizontal="center" vertical="center" wrapText="1"/>
    </xf>
    <xf numFmtId="4" fontId="11" fillId="0" borderId="57" xfId="0" applyNumberFormat="1" applyFont="1" applyBorder="1" applyAlignment="1">
      <alignment horizontal="center" vertical="center" wrapText="1"/>
    </xf>
    <xf numFmtId="4" fontId="11" fillId="0" borderId="58" xfId="0" applyNumberFormat="1" applyFont="1" applyBorder="1" applyAlignment="1">
      <alignment horizontal="center" vertical="center" wrapText="1"/>
    </xf>
    <xf numFmtId="0" fontId="7" fillId="4" borderId="25" xfId="0" applyFont="1" applyFill="1" applyBorder="1" applyAlignment="1">
      <alignment horizontal="left" vertical="center" wrapText="1"/>
    </xf>
    <xf numFmtId="0" fontId="0" fillId="0" borderId="10" xfId="0" applyBorder="1" applyAlignment="1">
      <alignment horizontal="left" vertical="center" wrapText="1"/>
    </xf>
    <xf numFmtId="4" fontId="7" fillId="0" borderId="7" xfId="1" applyNumberFormat="1" applyFont="1" applyBorder="1" applyAlignment="1">
      <alignment horizontal="left" vertical="center" wrapText="1"/>
    </xf>
    <xf numFmtId="0" fontId="0" fillId="0" borderId="33" xfId="0" applyBorder="1" applyAlignment="1">
      <alignment horizontal="left" vertical="center" wrapText="1"/>
    </xf>
    <xf numFmtId="0" fontId="18" fillId="4" borderId="32"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1" fillId="0" borderId="1" xfId="0" applyFont="1" applyBorder="1" applyAlignment="1">
      <alignment horizontal="center" vertical="center" wrapText="1"/>
    </xf>
    <xf numFmtId="0" fontId="18" fillId="0" borderId="7" xfId="0" applyFont="1" applyFill="1" applyBorder="1" applyAlignment="1">
      <alignment horizontal="left" vertical="center" wrapText="1"/>
    </xf>
    <xf numFmtId="0" fontId="18" fillId="0" borderId="10" xfId="0" applyFont="1" applyFill="1" applyBorder="1" applyAlignment="1">
      <alignment horizontal="left" vertical="center" wrapText="1"/>
    </xf>
    <xf numFmtId="164" fontId="63" fillId="0" borderId="34" xfId="0" applyNumberFormat="1" applyFont="1" applyBorder="1" applyAlignment="1">
      <alignment horizontal="center" vertical="center" wrapText="1"/>
    </xf>
    <xf numFmtId="164" fontId="63" fillId="0" borderId="0" xfId="0" applyNumberFormat="1" applyFont="1" applyBorder="1" applyAlignment="1">
      <alignment horizontal="center" vertical="center" wrapText="1"/>
    </xf>
    <xf numFmtId="0" fontId="7" fillId="0" borderId="22" xfId="0" applyFont="1" applyBorder="1" applyAlignment="1">
      <alignment horizontal="center" vertical="center"/>
    </xf>
    <xf numFmtId="0" fontId="9" fillId="0" borderId="22" xfId="0" applyFont="1" applyBorder="1" applyAlignment="1">
      <alignment vertical="center"/>
    </xf>
    <xf numFmtId="0" fontId="7" fillId="4" borderId="6" xfId="0" applyFont="1" applyFill="1" applyBorder="1" applyAlignment="1">
      <alignment horizontal="right" vertical="center" wrapText="1"/>
    </xf>
    <xf numFmtId="0" fontId="0" fillId="0" borderId="6" xfId="0" applyBorder="1" applyAlignment="1">
      <alignment horizontal="right" vertical="center" wrapText="1"/>
    </xf>
    <xf numFmtId="4" fontId="7" fillId="0" borderId="6" xfId="0" applyNumberFormat="1" applyFont="1" applyBorder="1" applyAlignment="1">
      <alignment horizontal="left" vertical="center" wrapText="1"/>
    </xf>
    <xf numFmtId="0" fontId="7" fillId="0" borderId="6" xfId="0" applyFont="1" applyBorder="1" applyAlignment="1">
      <alignment horizontal="left" vertical="center" wrapText="1"/>
    </xf>
    <xf numFmtId="0" fontId="24" fillId="0" borderId="0" xfId="0" applyFont="1" applyBorder="1" applyAlignment="1">
      <alignment horizontal="left" vertical="center"/>
    </xf>
    <xf numFmtId="0" fontId="10" fillId="0" borderId="36" xfId="0" applyFont="1" applyBorder="1" applyAlignment="1">
      <alignment horizontal="left" vertical="center" wrapText="1"/>
    </xf>
    <xf numFmtId="0" fontId="10" fillId="0" borderId="37" xfId="0" applyFont="1" applyBorder="1" applyAlignment="1">
      <alignment horizontal="left" vertical="center" wrapText="1"/>
    </xf>
    <xf numFmtId="0" fontId="10" fillId="0" borderId="56" xfId="0" applyFont="1" applyBorder="1" applyAlignment="1">
      <alignment horizontal="center" vertical="center" wrapText="1"/>
    </xf>
    <xf numFmtId="0" fontId="10" fillId="0" borderId="39" xfId="0" applyFont="1" applyBorder="1" applyAlignment="1">
      <alignment horizontal="center" vertical="center" wrapText="1"/>
    </xf>
    <xf numFmtId="173" fontId="36" fillId="0" borderId="0" xfId="1" applyNumberFormat="1" applyFont="1" applyFill="1" applyBorder="1" applyAlignment="1">
      <alignment horizontal="center" vertical="center" wrapText="1"/>
    </xf>
    <xf numFmtId="0" fontId="11" fillId="0" borderId="14"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19" xfId="0" applyFont="1" applyBorder="1" applyAlignment="1">
      <alignment horizontal="center" vertical="center" wrapText="1"/>
    </xf>
    <xf numFmtId="0" fontId="11" fillId="0" borderId="0" xfId="0" applyFont="1" applyBorder="1" applyAlignment="1">
      <alignment horizontal="center" vertical="center" wrapText="1"/>
    </xf>
    <xf numFmtId="2" fontId="10" fillId="0" borderId="6" xfId="0" applyNumberFormat="1" applyFont="1" applyFill="1" applyBorder="1" applyAlignment="1">
      <alignment horizontal="left" vertical="center" wrapText="1"/>
    </xf>
    <xf numFmtId="0" fontId="24" fillId="0" borderId="0" xfId="0" applyFont="1" applyAlignment="1">
      <alignment horizontal="left" vertical="center"/>
    </xf>
    <xf numFmtId="170" fontId="11" fillId="0" borderId="25" xfId="3" applyNumberFormat="1" applyFont="1" applyFill="1" applyBorder="1" applyAlignment="1">
      <alignment horizontal="right" vertical="center" wrapText="1"/>
    </xf>
    <xf numFmtId="170" fontId="11" fillId="0" borderId="95" xfId="3" applyNumberFormat="1" applyFont="1" applyFill="1" applyBorder="1" applyAlignment="1">
      <alignment horizontal="right" vertical="center" wrapText="1"/>
    </xf>
    <xf numFmtId="170" fontId="11" fillId="0" borderId="33" xfId="3" applyNumberFormat="1" applyFont="1" applyFill="1" applyBorder="1" applyAlignment="1">
      <alignment horizontal="right" vertical="center" wrapText="1"/>
    </xf>
    <xf numFmtId="0" fontId="18" fillId="2" borderId="40" xfId="3" applyFont="1" applyFill="1" applyBorder="1" applyAlignment="1">
      <alignment horizontal="right" vertical="center" wrapText="1"/>
    </xf>
    <xf numFmtId="0" fontId="18" fillId="2" borderId="57" xfId="3" applyFont="1" applyFill="1" applyBorder="1" applyAlignment="1">
      <alignment horizontal="right" vertical="center" wrapText="1"/>
    </xf>
    <xf numFmtId="0" fontId="18" fillId="2" borderId="96" xfId="3" applyFont="1" applyFill="1" applyBorder="1" applyAlignment="1">
      <alignment horizontal="right" vertical="center" wrapText="1"/>
    </xf>
    <xf numFmtId="0" fontId="25" fillId="0" borderId="6" xfId="0" applyFont="1" applyBorder="1" applyAlignment="1">
      <alignment horizontal="center" vertical="center"/>
    </xf>
    <xf numFmtId="0" fontId="10" fillId="0" borderId="94" xfId="0" applyFont="1" applyBorder="1" applyAlignment="1">
      <alignment horizontal="center" vertical="center"/>
    </xf>
    <xf numFmtId="0" fontId="10" fillId="0" borderId="10" xfId="0" applyFont="1" applyBorder="1" applyAlignment="1">
      <alignment horizontal="center" vertical="center"/>
    </xf>
    <xf numFmtId="0" fontId="10" fillId="0" borderId="99" xfId="0" applyFont="1" applyBorder="1" applyAlignment="1">
      <alignment horizontal="center" vertical="center"/>
    </xf>
    <xf numFmtId="0" fontId="10" fillId="0" borderId="101" xfId="0" applyFont="1" applyBorder="1" applyAlignment="1">
      <alignment horizontal="center" vertical="center"/>
    </xf>
    <xf numFmtId="0" fontId="10" fillId="0" borderId="6" xfId="0" applyFont="1" applyBorder="1" applyAlignment="1">
      <alignment horizontal="center" vertical="center"/>
    </xf>
    <xf numFmtId="0" fontId="23" fillId="2" borderId="27" xfId="3" applyFont="1" applyFill="1" applyBorder="1" applyAlignment="1">
      <alignment horizontal="center" vertical="center" wrapText="1"/>
    </xf>
    <xf numFmtId="0" fontId="23" fillId="2" borderId="34" xfId="3" applyFont="1" applyFill="1" applyBorder="1" applyAlignment="1">
      <alignment horizontal="center" vertical="center" wrapText="1"/>
    </xf>
    <xf numFmtId="0" fontId="23" fillId="2" borderId="84" xfId="3" applyFont="1" applyFill="1" applyBorder="1" applyAlignment="1">
      <alignment horizontal="center" vertical="center" wrapText="1"/>
    </xf>
    <xf numFmtId="0" fontId="23" fillId="2" borderId="111" xfId="3" applyFont="1" applyFill="1" applyBorder="1" applyAlignment="1">
      <alignment horizontal="center" vertical="center" wrapText="1"/>
    </xf>
    <xf numFmtId="0" fontId="23" fillId="2" borderId="96" xfId="3" applyFont="1" applyFill="1" applyBorder="1" applyAlignment="1">
      <alignment horizontal="center" vertical="center" wrapText="1"/>
    </xf>
    <xf numFmtId="0" fontId="23" fillId="2" borderId="112" xfId="3" applyFont="1" applyFill="1" applyBorder="1" applyAlignment="1">
      <alignment horizontal="center" vertical="center" wrapText="1"/>
    </xf>
    <xf numFmtId="0" fontId="25" fillId="0" borderId="22" xfId="0" applyFont="1" applyBorder="1" applyAlignment="1">
      <alignment horizontal="center" vertical="center"/>
    </xf>
    <xf numFmtId="0" fontId="24" fillId="0" borderId="62" xfId="0" applyFont="1" applyBorder="1" applyAlignment="1">
      <alignment horizontal="center"/>
    </xf>
    <xf numFmtId="0" fontId="24" fillId="0" borderId="61" xfId="0" applyFont="1" applyBorder="1" applyAlignment="1">
      <alignment horizontal="center"/>
    </xf>
    <xf numFmtId="0" fontId="18" fillId="2" borderId="37" xfId="3" applyFont="1" applyFill="1" applyBorder="1" applyAlignment="1">
      <alignment horizontal="right" vertical="center" wrapText="1"/>
    </xf>
    <xf numFmtId="0" fontId="23" fillId="2" borderId="62" xfId="3" applyFont="1" applyFill="1" applyBorder="1" applyAlignment="1">
      <alignment horizontal="center" vertical="center" wrapText="1"/>
    </xf>
    <xf numFmtId="0" fontId="23" fillId="2" borderId="0" xfId="3" applyFont="1" applyFill="1" applyBorder="1" applyAlignment="1">
      <alignment horizontal="center" vertical="center" wrapText="1"/>
    </xf>
    <xf numFmtId="0" fontId="23" fillId="2" borderId="61" xfId="3" applyFont="1" applyFill="1" applyBorder="1" applyAlignment="1">
      <alignment horizontal="center" vertical="center" wrapText="1"/>
    </xf>
    <xf numFmtId="0" fontId="24" fillId="0" borderId="40" xfId="0" applyFont="1" applyBorder="1" applyAlignment="1">
      <alignment horizontal="center"/>
    </xf>
    <xf numFmtId="0" fontId="24" fillId="0" borderId="42" xfId="0" applyFont="1" applyBorder="1" applyAlignment="1">
      <alignment horizontal="center"/>
    </xf>
    <xf numFmtId="170" fontId="11" fillId="0" borderId="24" xfId="3" applyNumberFormat="1" applyFont="1" applyFill="1" applyBorder="1" applyAlignment="1">
      <alignment horizontal="right" vertical="center" wrapText="1"/>
    </xf>
    <xf numFmtId="170" fontId="11" fillId="0" borderId="6" xfId="3" applyNumberFormat="1" applyFont="1" applyFill="1" applyBorder="1" applyAlignment="1">
      <alignment horizontal="right" vertical="center" wrapText="1"/>
    </xf>
    <xf numFmtId="170" fontId="11" fillId="0" borderId="16" xfId="3" applyNumberFormat="1" applyFont="1" applyFill="1" applyBorder="1" applyAlignment="1">
      <alignment horizontal="right" vertical="center" wrapText="1"/>
    </xf>
    <xf numFmtId="0" fontId="18" fillId="2" borderId="109" xfId="3" applyFont="1" applyFill="1" applyBorder="1" applyAlignment="1">
      <alignment horizontal="right" vertical="center" wrapText="1"/>
    </xf>
    <xf numFmtId="0" fontId="11" fillId="0" borderId="94" xfId="0" applyFont="1" applyBorder="1" applyAlignment="1">
      <alignment horizontal="right" vertical="center"/>
    </xf>
    <xf numFmtId="0" fontId="11" fillId="0" borderId="95" xfId="0" applyFont="1" applyBorder="1" applyAlignment="1">
      <alignment horizontal="right" vertical="center"/>
    </xf>
    <xf numFmtId="0" fontId="11" fillId="0" borderId="33" xfId="0" applyFont="1" applyBorder="1" applyAlignment="1">
      <alignment horizontal="right" vertical="center"/>
    </xf>
    <xf numFmtId="170" fontId="11" fillId="0" borderId="23" xfId="3" applyNumberFormat="1" applyFont="1" applyFill="1" applyBorder="1" applyAlignment="1">
      <alignment horizontal="right" vertical="center" wrapText="1"/>
    </xf>
    <xf numFmtId="170" fontId="11" fillId="0" borderId="14" xfId="3" applyNumberFormat="1" applyFont="1" applyFill="1" applyBorder="1" applyAlignment="1">
      <alignment horizontal="right" vertical="center" wrapText="1"/>
    </xf>
    <xf numFmtId="170" fontId="11" fillId="0" borderId="19" xfId="3" applyNumberFormat="1" applyFont="1" applyFill="1" applyBorder="1" applyAlignment="1">
      <alignment horizontal="right" vertical="center" wrapText="1"/>
    </xf>
    <xf numFmtId="0" fontId="10" fillId="0" borderId="40" xfId="0" applyFont="1" applyBorder="1" applyAlignment="1">
      <alignment horizontal="center" vertical="center"/>
    </xf>
    <xf numFmtId="0" fontId="10" fillId="0" borderId="42" xfId="0" applyFont="1" applyBorder="1" applyAlignment="1">
      <alignment horizontal="center" vertical="center"/>
    </xf>
    <xf numFmtId="0" fontId="10" fillId="0" borderId="82" xfId="0" applyFont="1" applyBorder="1" applyAlignment="1">
      <alignment horizontal="center" vertical="center"/>
    </xf>
    <xf numFmtId="0" fontId="10" fillId="0" borderId="83" xfId="0" applyFont="1" applyBorder="1" applyAlignment="1">
      <alignment horizontal="center" vertical="center"/>
    </xf>
    <xf numFmtId="0" fontId="23" fillId="2" borderId="40" xfId="3" applyFont="1" applyFill="1" applyBorder="1" applyAlignment="1">
      <alignment horizontal="right" vertical="center" wrapText="1"/>
    </xf>
    <xf numFmtId="0" fontId="23" fillId="2" borderId="57" xfId="3" applyFont="1" applyFill="1" applyBorder="1" applyAlignment="1">
      <alignment horizontal="right" vertical="center" wrapText="1"/>
    </xf>
    <xf numFmtId="170" fontId="11" fillId="0" borderId="21" xfId="3" applyNumberFormat="1" applyFont="1" applyFill="1" applyBorder="1" applyAlignment="1">
      <alignment horizontal="right" vertical="center" wrapText="1"/>
    </xf>
    <xf numFmtId="170" fontId="11" fillId="0" borderId="22" xfId="3" applyNumberFormat="1" applyFont="1" applyFill="1" applyBorder="1" applyAlignment="1">
      <alignment horizontal="right" vertical="center" wrapText="1"/>
    </xf>
    <xf numFmtId="170" fontId="11" fillId="0" borderId="41" xfId="3" applyNumberFormat="1" applyFont="1" applyFill="1" applyBorder="1" applyAlignment="1">
      <alignment horizontal="right" vertical="center" wrapText="1"/>
    </xf>
    <xf numFmtId="0" fontId="23" fillId="2" borderId="109" xfId="3" applyFont="1" applyFill="1" applyBorder="1" applyAlignment="1">
      <alignment horizontal="right" vertical="center" wrapText="1"/>
    </xf>
    <xf numFmtId="0" fontId="22" fillId="0" borderId="13" xfId="0" applyFont="1" applyBorder="1" applyAlignment="1">
      <alignment horizontal="center" vertical="center"/>
    </xf>
    <xf numFmtId="0" fontId="18" fillId="2" borderId="111" xfId="3" applyFont="1" applyFill="1" applyBorder="1" applyAlignment="1">
      <alignment horizontal="right" vertical="center" wrapText="1"/>
    </xf>
    <xf numFmtId="0" fontId="18" fillId="2" borderId="112" xfId="3" applyFont="1" applyFill="1" applyBorder="1" applyAlignment="1">
      <alignment horizontal="right" vertical="center" wrapText="1"/>
    </xf>
    <xf numFmtId="0" fontId="23" fillId="2" borderId="38" xfId="3" applyFont="1" applyFill="1" applyBorder="1" applyAlignment="1">
      <alignment horizontal="center" vertical="center" wrapText="1"/>
    </xf>
    <xf numFmtId="0" fontId="23" fillId="2" borderId="43" xfId="3" applyFont="1" applyFill="1" applyBorder="1" applyAlignment="1">
      <alignment horizontal="center" vertical="center" wrapText="1"/>
    </xf>
    <xf numFmtId="0" fontId="23" fillId="2" borderId="56" xfId="3" applyFont="1" applyFill="1" applyBorder="1" applyAlignment="1">
      <alignment horizontal="center" vertical="center" wrapText="1"/>
    </xf>
    <xf numFmtId="0" fontId="10" fillId="0" borderId="43" xfId="0" applyFont="1" applyBorder="1" applyAlignment="1">
      <alignment horizontal="left" vertical="center" wrapText="1"/>
    </xf>
    <xf numFmtId="0" fontId="22" fillId="0" borderId="0" xfId="0" applyFont="1" applyBorder="1" applyAlignment="1">
      <alignment horizontal="center"/>
    </xf>
    <xf numFmtId="0" fontId="22" fillId="0" borderId="13" xfId="0" applyFont="1" applyBorder="1" applyAlignment="1">
      <alignment horizontal="center"/>
    </xf>
    <xf numFmtId="0" fontId="22" fillId="0" borderId="54" xfId="0" applyFont="1" applyBorder="1" applyAlignment="1">
      <alignment horizontal="center" vertical="center"/>
    </xf>
    <xf numFmtId="0" fontId="22" fillId="0" borderId="43" xfId="0" applyFont="1" applyBorder="1" applyAlignment="1">
      <alignment horizontal="center" vertical="center"/>
    </xf>
    <xf numFmtId="0" fontId="22" fillId="0" borderId="55" xfId="0" applyFont="1" applyBorder="1" applyAlignment="1">
      <alignment horizontal="center" vertical="center"/>
    </xf>
    <xf numFmtId="0" fontId="10" fillId="0" borderId="54" xfId="0" applyFont="1" applyBorder="1" applyAlignment="1">
      <alignment horizontal="left" vertical="center" wrapText="1"/>
    </xf>
    <xf numFmtId="0" fontId="10" fillId="0" borderId="56" xfId="0" applyFont="1" applyBorder="1" applyAlignment="1">
      <alignment horizontal="left" vertical="center" wrapText="1"/>
    </xf>
    <xf numFmtId="0" fontId="10" fillId="0" borderId="27" xfId="0" applyFont="1" applyBorder="1" applyAlignment="1">
      <alignment horizontal="center" vertical="center"/>
    </xf>
    <xf numFmtId="0" fontId="10" fillId="0" borderId="84" xfId="0" applyFont="1" applyBorder="1" applyAlignment="1">
      <alignment horizontal="center" vertical="center"/>
    </xf>
    <xf numFmtId="170" fontId="10" fillId="0" borderId="25" xfId="3" applyNumberFormat="1" applyFont="1" applyFill="1" applyBorder="1" applyAlignment="1">
      <alignment horizontal="right" vertical="center" wrapText="1"/>
    </xf>
    <xf numFmtId="170" fontId="10" fillId="0" borderId="95" xfId="3" applyNumberFormat="1" applyFont="1" applyFill="1" applyBorder="1" applyAlignment="1">
      <alignment horizontal="right" vertical="center" wrapText="1"/>
    </xf>
    <xf numFmtId="170" fontId="10" fillId="0" borderId="33" xfId="3" applyNumberFormat="1" applyFont="1" applyFill="1" applyBorder="1" applyAlignment="1">
      <alignment horizontal="right" vertical="center" wrapText="1"/>
    </xf>
    <xf numFmtId="0" fontId="0" fillId="0" borderId="43" xfId="0" applyBorder="1" applyAlignment="1">
      <alignment horizontal="center" vertical="center" wrapText="1"/>
    </xf>
    <xf numFmtId="170" fontId="11" fillId="0" borderId="73" xfId="3" applyNumberFormat="1" applyFont="1" applyFill="1" applyBorder="1" applyAlignment="1">
      <alignment horizontal="right" vertical="center" wrapText="1"/>
    </xf>
    <xf numFmtId="170" fontId="11" fillId="0" borderId="57" xfId="3" applyNumberFormat="1" applyFont="1" applyFill="1" applyBorder="1" applyAlignment="1">
      <alignment horizontal="right" vertical="center" wrapText="1"/>
    </xf>
    <xf numFmtId="170" fontId="11" fillId="0" borderId="58" xfId="3" applyNumberFormat="1" applyFont="1" applyFill="1" applyBorder="1" applyAlignment="1">
      <alignment horizontal="right" vertical="center" wrapText="1"/>
    </xf>
    <xf numFmtId="0" fontId="24" fillId="0" borderId="111" xfId="0" applyFont="1" applyBorder="1" applyAlignment="1">
      <alignment horizontal="center"/>
    </xf>
    <xf numFmtId="0" fontId="24" fillId="0" borderId="112" xfId="0" applyFont="1" applyBorder="1" applyAlignment="1">
      <alignment horizontal="center"/>
    </xf>
    <xf numFmtId="170" fontId="11" fillId="0" borderId="113" xfId="3" applyNumberFormat="1" applyFont="1" applyFill="1" applyBorder="1" applyAlignment="1">
      <alignment horizontal="right" vertical="center" wrapText="1"/>
    </xf>
    <xf numFmtId="170" fontId="11" fillId="0" borderId="92" xfId="3" applyNumberFormat="1" applyFont="1" applyFill="1" applyBorder="1" applyAlignment="1">
      <alignment horizontal="right" vertical="center" wrapText="1"/>
    </xf>
    <xf numFmtId="170" fontId="11" fillId="0" borderId="93" xfId="3" applyNumberFormat="1" applyFont="1" applyFill="1" applyBorder="1" applyAlignment="1">
      <alignment horizontal="right" vertical="center" wrapText="1"/>
    </xf>
    <xf numFmtId="0" fontId="24" fillId="0" borderId="37" xfId="0" applyFont="1" applyBorder="1" applyAlignment="1">
      <alignment horizontal="center" wrapText="1"/>
    </xf>
    <xf numFmtId="0" fontId="24" fillId="0" borderId="38" xfId="0" applyFont="1" applyBorder="1" applyAlignment="1">
      <alignment horizontal="center" wrapText="1"/>
    </xf>
    <xf numFmtId="0" fontId="24" fillId="0" borderId="37" xfId="0" applyFont="1" applyBorder="1" applyAlignment="1">
      <alignment horizontal="left" vertical="center"/>
    </xf>
    <xf numFmtId="0" fontId="11" fillId="0" borderId="37" xfId="3" applyFont="1" applyFill="1" applyBorder="1" applyAlignment="1">
      <alignment horizontal="center" vertical="center" wrapText="1"/>
    </xf>
    <xf numFmtId="0" fontId="18" fillId="0" borderId="37" xfId="3"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8" fillId="2" borderId="109" xfId="0" applyFont="1" applyFill="1" applyBorder="1" applyAlignment="1">
      <alignment horizontal="right" vertical="center" wrapText="1"/>
    </xf>
    <xf numFmtId="0" fontId="11" fillId="0" borderId="24" xfId="0" applyFont="1" applyBorder="1" applyAlignment="1">
      <alignment horizontal="right" vertical="center" wrapText="1"/>
    </xf>
    <xf numFmtId="0" fontId="11" fillId="0" borderId="6" xfId="0" applyFont="1" applyBorder="1" applyAlignment="1">
      <alignment horizontal="right" vertical="center" wrapText="1"/>
    </xf>
    <xf numFmtId="0" fontId="11" fillId="0" borderId="16" xfId="0" applyFont="1" applyBorder="1" applyAlignment="1">
      <alignment horizontal="right" vertical="center" wrapText="1"/>
    </xf>
    <xf numFmtId="0" fontId="11" fillId="0" borderId="51" xfId="0" applyFont="1" applyBorder="1" applyAlignment="1">
      <alignment horizontal="right" vertical="center" wrapText="1"/>
    </xf>
    <xf numFmtId="0" fontId="11" fillId="0" borderId="52" xfId="0" applyFont="1" applyBorder="1" applyAlignment="1">
      <alignment horizontal="right" vertical="center" wrapText="1"/>
    </xf>
    <xf numFmtId="0" fontId="11" fillId="0" borderId="53" xfId="0" applyFont="1" applyBorder="1" applyAlignment="1">
      <alignment horizontal="right" vertical="center" wrapText="1"/>
    </xf>
    <xf numFmtId="0" fontId="18" fillId="2" borderId="38" xfId="0" applyFont="1" applyFill="1" applyBorder="1" applyAlignment="1">
      <alignment horizontal="right" vertical="center" wrapText="1"/>
    </xf>
    <xf numFmtId="0" fontId="18" fillId="2" borderId="43" xfId="0" applyFont="1" applyFill="1" applyBorder="1" applyAlignment="1">
      <alignment horizontal="right" vertical="center" wrapText="1"/>
    </xf>
    <xf numFmtId="0" fontId="18" fillId="2" borderId="56" xfId="0" applyFont="1" applyFill="1" applyBorder="1" applyAlignment="1">
      <alignment horizontal="right" vertical="center" wrapText="1"/>
    </xf>
    <xf numFmtId="0" fontId="23" fillId="2" borderId="82" xfId="3" applyFont="1" applyFill="1" applyBorder="1" applyAlignment="1">
      <alignment horizontal="center" vertical="center" wrapText="1"/>
    </xf>
    <xf numFmtId="0" fontId="23" fillId="2" borderId="52" xfId="3" applyFont="1" applyFill="1" applyBorder="1" applyAlignment="1">
      <alignment horizontal="center" vertical="center" wrapText="1"/>
    </xf>
    <xf numFmtId="0" fontId="23" fillId="2" borderId="83" xfId="3" applyFont="1" applyFill="1" applyBorder="1" applyAlignment="1">
      <alignment horizontal="center" vertical="center" wrapText="1"/>
    </xf>
    <xf numFmtId="0" fontId="25" fillId="0" borderId="94" xfId="0" applyFont="1" applyBorder="1" applyAlignment="1">
      <alignment horizontal="center" vertical="center"/>
    </xf>
    <xf numFmtId="0" fontId="25" fillId="0" borderId="10" xfId="0" applyFont="1" applyBorder="1" applyAlignment="1">
      <alignment horizontal="center" vertical="center"/>
    </xf>
    <xf numFmtId="0" fontId="18" fillId="2" borderId="37" xfId="0" applyFont="1" applyFill="1" applyBorder="1" applyAlignment="1">
      <alignment horizontal="right" vertical="center" wrapText="1"/>
    </xf>
    <xf numFmtId="0" fontId="23" fillId="0" borderId="37" xfId="0" applyFont="1" applyFill="1" applyBorder="1" applyAlignment="1">
      <alignment horizontal="right" vertical="center" wrapText="1"/>
    </xf>
    <xf numFmtId="0" fontId="11" fillId="0" borderId="51" xfId="0" applyFont="1" applyFill="1" applyBorder="1" applyAlignment="1">
      <alignment horizontal="right" vertical="center" wrapText="1"/>
    </xf>
    <xf numFmtId="0" fontId="11" fillId="0" borderId="52" xfId="0" applyFont="1" applyFill="1" applyBorder="1" applyAlignment="1">
      <alignment horizontal="right" vertical="center" wrapText="1"/>
    </xf>
    <xf numFmtId="0" fontId="11" fillId="0" borderId="53" xfId="0" applyFont="1" applyFill="1" applyBorder="1" applyAlignment="1">
      <alignment horizontal="right" vertical="center" wrapText="1"/>
    </xf>
    <xf numFmtId="0" fontId="10" fillId="0" borderId="51" xfId="0" applyFont="1" applyBorder="1" applyAlignment="1">
      <alignment horizontal="right" vertical="center" wrapText="1"/>
    </xf>
    <xf numFmtId="0" fontId="10" fillId="0" borderId="52" xfId="0" applyFont="1" applyBorder="1" applyAlignment="1">
      <alignment horizontal="right" vertical="center" wrapText="1"/>
    </xf>
    <xf numFmtId="0" fontId="10" fillId="0" borderId="53" xfId="0" applyFont="1" applyBorder="1" applyAlignment="1">
      <alignment horizontal="right" vertical="center" wrapText="1"/>
    </xf>
    <xf numFmtId="0" fontId="27" fillId="0" borderId="54" xfId="0" applyFont="1" applyBorder="1" applyAlignment="1">
      <alignment horizontal="center" vertical="center"/>
    </xf>
    <xf numFmtId="0" fontId="27" fillId="0" borderId="43" xfId="0" applyFont="1" applyBorder="1" applyAlignment="1">
      <alignment horizontal="center" vertical="center"/>
    </xf>
    <xf numFmtId="0" fontId="27" fillId="0" borderId="55" xfId="0" applyFont="1" applyBorder="1" applyAlignment="1">
      <alignment horizontal="center" vertical="center"/>
    </xf>
    <xf numFmtId="0" fontId="11" fillId="0" borderId="23" xfId="0" applyFont="1" applyBorder="1" applyAlignment="1">
      <alignment horizontal="right" vertical="center" wrapText="1"/>
    </xf>
    <xf numFmtId="0" fontId="11" fillId="0" borderId="14" xfId="0" applyFont="1" applyBorder="1" applyAlignment="1">
      <alignment horizontal="right" vertical="center" wrapText="1"/>
    </xf>
    <xf numFmtId="0" fontId="11" fillId="0" borderId="19" xfId="0" applyFont="1" applyBorder="1" applyAlignment="1">
      <alignment horizontal="right" vertical="center" wrapText="1"/>
    </xf>
    <xf numFmtId="170" fontId="10" fillId="0" borderId="24" xfId="3" applyNumberFormat="1" applyFont="1" applyFill="1" applyBorder="1" applyAlignment="1">
      <alignment horizontal="right" vertical="center" wrapText="1"/>
    </xf>
    <xf numFmtId="170" fontId="10" fillId="0" borderId="6" xfId="3" applyNumberFormat="1" applyFont="1" applyFill="1" applyBorder="1" applyAlignment="1">
      <alignment horizontal="right" vertical="center" wrapText="1"/>
    </xf>
    <xf numFmtId="170" fontId="10" fillId="0" borderId="16" xfId="3" applyNumberFormat="1" applyFont="1" applyFill="1" applyBorder="1" applyAlignment="1">
      <alignment horizontal="right" vertical="center" wrapText="1"/>
    </xf>
    <xf numFmtId="0" fontId="18" fillId="5" borderId="82" xfId="3" applyFont="1" applyFill="1" applyBorder="1" applyAlignment="1">
      <alignment horizontal="center" vertical="center"/>
    </xf>
    <xf numFmtId="0" fontId="18" fillId="5" borderId="83" xfId="3" applyFont="1" applyFill="1" applyBorder="1" applyAlignment="1">
      <alignment horizontal="center" vertical="center"/>
    </xf>
    <xf numFmtId="0" fontId="18" fillId="0" borderId="60" xfId="3" applyFont="1" applyFill="1" applyBorder="1" applyAlignment="1">
      <alignment horizontal="right" vertical="center" wrapText="1"/>
    </xf>
    <xf numFmtId="0" fontId="11" fillId="0" borderId="54" xfId="3" applyFont="1" applyFill="1" applyBorder="1" applyAlignment="1">
      <alignment horizontal="left" vertical="center" wrapText="1"/>
    </xf>
    <xf numFmtId="0" fontId="11" fillId="0" borderId="43" xfId="3" applyFont="1" applyFill="1" applyBorder="1" applyAlignment="1">
      <alignment horizontal="left" vertical="center" wrapText="1"/>
    </xf>
    <xf numFmtId="0" fontId="11" fillId="0" borderId="55" xfId="3" applyFont="1" applyFill="1" applyBorder="1" applyAlignment="1">
      <alignment horizontal="left" vertical="center" wrapText="1"/>
    </xf>
    <xf numFmtId="0" fontId="10" fillId="0" borderId="25" xfId="0" applyFont="1" applyFill="1" applyBorder="1" applyAlignment="1">
      <alignment horizontal="right" vertical="center" wrapText="1"/>
    </xf>
    <xf numFmtId="0" fontId="10" fillId="0" borderId="11" xfId="0" applyFont="1" applyFill="1" applyBorder="1" applyAlignment="1">
      <alignment horizontal="right" vertical="center" wrapText="1"/>
    </xf>
    <xf numFmtId="0" fontId="10" fillId="0" borderId="33" xfId="0" applyFont="1" applyFill="1" applyBorder="1" applyAlignment="1">
      <alignment horizontal="right" vertical="center" wrapText="1"/>
    </xf>
    <xf numFmtId="0" fontId="23" fillId="2" borderId="14" xfId="0" applyFont="1" applyFill="1" applyBorder="1" applyAlignment="1">
      <alignment horizontal="right" vertical="center" wrapText="1"/>
    </xf>
    <xf numFmtId="0" fontId="27" fillId="0" borderId="26" xfId="0" applyFont="1" applyBorder="1" applyAlignment="1">
      <alignment horizontal="center" vertical="center"/>
    </xf>
    <xf numFmtId="0" fontId="27" fillId="0" borderId="34" xfId="0" applyFont="1" applyBorder="1" applyAlignment="1">
      <alignment horizontal="center" vertical="center"/>
    </xf>
    <xf numFmtId="0" fontId="27" fillId="0" borderId="28" xfId="0" applyFont="1" applyBorder="1" applyAlignment="1">
      <alignment horizontal="center" vertical="center"/>
    </xf>
    <xf numFmtId="0" fontId="18" fillId="2" borderId="60" xfId="3" applyFont="1" applyFill="1" applyBorder="1" applyAlignment="1">
      <alignment horizontal="right" vertical="center" wrapText="1"/>
    </xf>
    <xf numFmtId="0" fontId="23" fillId="0" borderId="0" xfId="3" applyFont="1" applyFill="1" applyBorder="1" applyAlignment="1">
      <alignment horizontal="center" vertical="center" wrapText="1"/>
    </xf>
    <xf numFmtId="170" fontId="10" fillId="0" borderId="54" xfId="3" applyNumberFormat="1" applyFont="1" applyFill="1" applyBorder="1" applyAlignment="1">
      <alignment horizontal="justify" vertical="center" wrapText="1"/>
    </xf>
    <xf numFmtId="170" fontId="10" fillId="0" borderId="43" xfId="3" applyNumberFormat="1" applyFont="1" applyFill="1" applyBorder="1" applyAlignment="1">
      <alignment horizontal="justify" vertical="center" wrapText="1"/>
    </xf>
    <xf numFmtId="170" fontId="10" fillId="0" borderId="55" xfId="3" applyNumberFormat="1" applyFont="1" applyFill="1" applyBorder="1" applyAlignment="1">
      <alignment horizontal="justify" vertical="center" wrapText="1"/>
    </xf>
    <xf numFmtId="167" fontId="23" fillId="0" borderId="82" xfId="0" applyNumberFormat="1" applyFont="1" applyBorder="1" applyAlignment="1">
      <alignment horizontal="center" vertical="center"/>
    </xf>
    <xf numFmtId="167" fontId="23" fillId="0" borderId="83" xfId="0" applyNumberFormat="1" applyFont="1" applyBorder="1" applyAlignment="1">
      <alignment horizontal="center" vertical="center"/>
    </xf>
    <xf numFmtId="167" fontId="10" fillId="0" borderId="7" xfId="0" applyNumberFormat="1" applyFont="1" applyBorder="1" applyAlignment="1">
      <alignment horizontal="center" vertical="center"/>
    </xf>
    <xf numFmtId="167" fontId="10" fillId="0" borderId="10" xfId="0" applyNumberFormat="1" applyFont="1" applyBorder="1" applyAlignment="1">
      <alignment horizontal="center" vertical="center"/>
    </xf>
    <xf numFmtId="167" fontId="10" fillId="0" borderId="40" xfId="0" applyNumberFormat="1" applyFont="1" applyBorder="1" applyAlignment="1">
      <alignment horizontal="center" vertical="center"/>
    </xf>
    <xf numFmtId="167" fontId="10" fillId="0" borderId="42" xfId="0" applyNumberFormat="1" applyFont="1" applyBorder="1" applyAlignment="1">
      <alignment horizontal="center" vertical="center"/>
    </xf>
    <xf numFmtId="0" fontId="18" fillId="2" borderId="59" xfId="3" applyFont="1" applyFill="1" applyBorder="1" applyAlignment="1">
      <alignment horizontal="right" vertical="center" wrapText="1"/>
    </xf>
    <xf numFmtId="0" fontId="24" fillId="0" borderId="37" xfId="0" applyFont="1" applyBorder="1" applyAlignment="1">
      <alignment horizontal="center" vertical="center" wrapText="1"/>
    </xf>
    <xf numFmtId="0" fontId="24" fillId="0" borderId="39" xfId="0" applyFont="1" applyBorder="1" applyAlignment="1">
      <alignment horizontal="center" vertical="center" wrapText="1"/>
    </xf>
    <xf numFmtId="0" fontId="23" fillId="2" borderId="60" xfId="3" applyFont="1" applyFill="1" applyBorder="1" applyAlignment="1">
      <alignment horizontal="right" vertical="center" wrapText="1"/>
    </xf>
    <xf numFmtId="0" fontId="23" fillId="2" borderId="37" xfId="3" applyFont="1" applyFill="1" applyBorder="1" applyAlignment="1">
      <alignment horizontal="right" vertical="center" wrapText="1"/>
    </xf>
    <xf numFmtId="170" fontId="10" fillId="0" borderId="21" xfId="3" applyNumberFormat="1" applyFont="1" applyFill="1" applyBorder="1" applyAlignment="1">
      <alignment horizontal="right" vertical="center" wrapText="1"/>
    </xf>
    <xf numFmtId="170" fontId="10" fillId="0" borderId="22" xfId="3" applyNumberFormat="1" applyFont="1" applyFill="1" applyBorder="1" applyAlignment="1">
      <alignment horizontal="right" vertical="center" wrapText="1"/>
    </xf>
    <xf numFmtId="170" fontId="10" fillId="0" borderId="41" xfId="3" applyNumberFormat="1" applyFont="1" applyFill="1" applyBorder="1" applyAlignment="1">
      <alignment horizontal="right" vertical="center" wrapText="1"/>
    </xf>
    <xf numFmtId="0" fontId="68" fillId="0" borderId="26" xfId="0" applyFont="1" applyBorder="1" applyAlignment="1">
      <alignment horizontal="center" vertical="center"/>
    </xf>
    <xf numFmtId="0" fontId="68" fillId="0" borderId="34" xfId="0" applyFont="1" applyBorder="1" applyAlignment="1">
      <alignment horizontal="center" vertical="center"/>
    </xf>
    <xf numFmtId="0" fontId="68" fillId="0" borderId="28" xfId="0" applyFont="1" applyBorder="1" applyAlignment="1">
      <alignment horizontal="center" vertical="center"/>
    </xf>
    <xf numFmtId="0" fontId="68" fillId="0" borderId="12" xfId="0" applyFont="1" applyBorder="1" applyAlignment="1">
      <alignment horizontal="center" vertical="center"/>
    </xf>
    <xf numFmtId="0" fontId="68" fillId="0" borderId="0" xfId="0" applyFont="1" applyBorder="1" applyAlignment="1">
      <alignment horizontal="center" vertical="center"/>
    </xf>
    <xf numFmtId="0" fontId="68" fillId="0" borderId="13" xfId="0" applyFont="1" applyBorder="1" applyAlignment="1">
      <alignment horizontal="center" vertical="center"/>
    </xf>
    <xf numFmtId="2" fontId="68" fillId="0" borderId="0" xfId="0" applyNumberFormat="1" applyFont="1" applyBorder="1" applyAlignment="1">
      <alignment horizontal="left" vertical="center" wrapText="1"/>
    </xf>
    <xf numFmtId="0" fontId="68" fillId="0" borderId="0" xfId="0" applyFont="1" applyBorder="1" applyAlignment="1">
      <alignment horizontal="justify" vertical="center" wrapText="1"/>
    </xf>
    <xf numFmtId="0" fontId="68" fillId="0" borderId="54" xfId="0" applyFont="1" applyBorder="1" applyAlignment="1">
      <alignment horizontal="center" vertical="center"/>
    </xf>
    <xf numFmtId="0" fontId="68" fillId="0" borderId="43" xfId="0" applyFont="1" applyBorder="1" applyAlignment="1">
      <alignment horizontal="center" vertical="center"/>
    </xf>
    <xf numFmtId="0" fontId="68" fillId="0" borderId="55" xfId="0" applyFont="1" applyBorder="1" applyAlignment="1">
      <alignment horizontal="center" vertical="center"/>
    </xf>
    <xf numFmtId="0" fontId="68" fillId="31" borderId="73" xfId="0" applyFont="1" applyFill="1" applyBorder="1" applyAlignment="1">
      <alignment horizontal="right" vertical="center"/>
    </xf>
    <xf numFmtId="0" fontId="68" fillId="31" borderId="42" xfId="0" applyFont="1" applyFill="1" applyBorder="1" applyAlignment="1">
      <alignment horizontal="right" vertical="center"/>
    </xf>
    <xf numFmtId="0" fontId="19" fillId="31" borderId="40" xfId="0" applyFont="1" applyFill="1" applyBorder="1" applyAlignment="1">
      <alignment horizontal="center" vertical="center" wrapText="1"/>
    </xf>
    <xf numFmtId="0" fontId="19" fillId="31" borderId="57" xfId="0" applyFont="1" applyFill="1" applyBorder="1" applyAlignment="1">
      <alignment horizontal="center" vertical="center" wrapText="1"/>
    </xf>
    <xf numFmtId="0" fontId="19" fillId="31" borderId="58" xfId="0" applyFont="1" applyFill="1" applyBorder="1" applyAlignment="1">
      <alignment horizontal="center" vertical="center" wrapText="1"/>
    </xf>
    <xf numFmtId="0" fontId="68" fillId="35" borderId="38" xfId="0" applyFont="1" applyFill="1" applyBorder="1" applyAlignment="1">
      <alignment horizontal="left" vertical="center"/>
    </xf>
    <xf numFmtId="0" fontId="68" fillId="35" borderId="43" xfId="0" applyFont="1" applyFill="1" applyBorder="1" applyAlignment="1">
      <alignment horizontal="left" vertical="center"/>
    </xf>
    <xf numFmtId="0" fontId="68" fillId="35" borderId="55" xfId="0" applyFont="1" applyFill="1" applyBorder="1" applyAlignment="1">
      <alignment horizontal="left" vertical="center"/>
    </xf>
    <xf numFmtId="0" fontId="19" fillId="0" borderId="25" xfId="0" applyFont="1" applyBorder="1" applyAlignment="1">
      <alignment horizontal="center" vertical="center" wrapText="1"/>
    </xf>
    <xf numFmtId="0" fontId="19" fillId="0" borderId="95" xfId="0" applyFont="1" applyBorder="1" applyAlignment="1">
      <alignment horizontal="center" vertical="center" wrapText="1"/>
    </xf>
    <xf numFmtId="0" fontId="19" fillId="0" borderId="33" xfId="0" applyFont="1" applyBorder="1" applyAlignment="1">
      <alignment horizontal="center" vertical="center" wrapText="1"/>
    </xf>
    <xf numFmtId="2" fontId="68" fillId="0" borderId="29" xfId="0" applyNumberFormat="1" applyFont="1" applyBorder="1" applyAlignment="1">
      <alignment horizontal="center" vertical="center" wrapText="1"/>
    </xf>
    <xf numFmtId="2" fontId="68" fillId="0" borderId="92" xfId="0" applyNumberFormat="1" applyFont="1" applyBorder="1" applyAlignment="1">
      <alignment horizontal="center" vertical="center" wrapText="1"/>
    </xf>
    <xf numFmtId="2" fontId="68" fillId="0" borderId="30" xfId="0" applyNumberFormat="1" applyFont="1" applyBorder="1" applyAlignment="1">
      <alignment horizontal="center" vertical="center" wrapText="1"/>
    </xf>
    <xf numFmtId="0" fontId="68" fillId="31" borderId="94" xfId="0" applyFont="1" applyFill="1" applyBorder="1" applyAlignment="1">
      <alignment horizontal="center" vertical="center" wrapText="1"/>
    </xf>
    <xf numFmtId="0" fontId="68" fillId="31" borderId="95" xfId="0" applyFont="1" applyFill="1" applyBorder="1" applyAlignment="1">
      <alignment horizontal="center" vertical="center" wrapText="1"/>
    </xf>
    <xf numFmtId="0" fontId="68" fillId="31" borderId="33" xfId="0" applyFont="1" applyFill="1" applyBorder="1" applyAlignment="1">
      <alignment horizontal="center" vertical="center" wrapText="1"/>
    </xf>
    <xf numFmtId="0" fontId="19" fillId="0" borderId="51" xfId="0" applyFont="1" applyBorder="1" applyAlignment="1">
      <alignment horizontal="center" vertical="center" wrapText="1"/>
    </xf>
    <xf numFmtId="0" fontId="19" fillId="0" borderId="52" xfId="0" applyFont="1" applyBorder="1" applyAlignment="1">
      <alignment horizontal="center" vertical="center" wrapText="1"/>
    </xf>
    <xf numFmtId="0" fontId="19" fillId="0" borderId="53" xfId="0" applyFont="1" applyBorder="1" applyAlignment="1">
      <alignment horizontal="center" vertical="center" wrapText="1"/>
    </xf>
    <xf numFmtId="2" fontId="19" fillId="0" borderId="25" xfId="0" applyNumberFormat="1" applyFont="1" applyBorder="1" applyAlignment="1">
      <alignment horizontal="center" vertical="center" wrapText="1"/>
    </xf>
    <xf numFmtId="2" fontId="19" fillId="0" borderId="95" xfId="0" applyNumberFormat="1" applyFont="1" applyBorder="1" applyAlignment="1">
      <alignment horizontal="center" vertical="center" wrapText="1"/>
    </xf>
    <xf numFmtId="2" fontId="19" fillId="0" borderId="33" xfId="0" applyNumberFormat="1" applyFont="1" applyBorder="1" applyAlignment="1">
      <alignment horizontal="center" vertical="center" wrapText="1"/>
    </xf>
    <xf numFmtId="0" fontId="19" fillId="0" borderId="29" xfId="0" applyFont="1" applyBorder="1" applyAlignment="1">
      <alignment horizontal="center" vertical="center"/>
    </xf>
    <xf numFmtId="0" fontId="19" fillId="0" borderId="101" xfId="0" applyFont="1" applyBorder="1" applyAlignment="1">
      <alignment horizontal="center" vertical="center"/>
    </xf>
    <xf numFmtId="0" fontId="19" fillId="0" borderId="79" xfId="0" applyFont="1" applyBorder="1" applyAlignment="1">
      <alignment horizontal="center" vertical="center"/>
    </xf>
    <xf numFmtId="0" fontId="19" fillId="0" borderId="4" xfId="0" applyFont="1" applyBorder="1" applyAlignment="1">
      <alignment horizontal="center" vertical="center"/>
    </xf>
    <xf numFmtId="0" fontId="68" fillId="31" borderId="94" xfId="0" applyFont="1" applyFill="1" applyBorder="1" applyAlignment="1">
      <alignment horizontal="center" vertical="center"/>
    </xf>
    <xf numFmtId="0" fontId="68" fillId="31" borderId="95" xfId="0" applyFont="1" applyFill="1" applyBorder="1" applyAlignment="1">
      <alignment horizontal="center" vertical="center"/>
    </xf>
    <xf numFmtId="0" fontId="68" fillId="31" borderId="33" xfId="0" applyFont="1" applyFill="1" applyBorder="1" applyAlignment="1">
      <alignment horizontal="center" vertical="center"/>
    </xf>
    <xf numFmtId="0" fontId="19" fillId="0" borderId="94" xfId="0" applyFont="1" applyFill="1" applyBorder="1" applyAlignment="1">
      <alignment horizontal="justify" vertical="center" wrapText="1"/>
    </xf>
    <xf numFmtId="0" fontId="19" fillId="0" borderId="95" xfId="0" applyFont="1" applyFill="1" applyBorder="1" applyAlignment="1">
      <alignment horizontal="justify" vertical="center" wrapText="1"/>
    </xf>
    <xf numFmtId="0" fontId="19" fillId="0" borderId="33" xfId="0" applyFont="1" applyFill="1" applyBorder="1" applyAlignment="1">
      <alignment horizontal="justify" vertical="center" wrapText="1"/>
    </xf>
    <xf numFmtId="167" fontId="19" fillId="0" borderId="6" xfId="0" quotePrefix="1" applyNumberFormat="1" applyFont="1" applyFill="1" applyBorder="1" applyAlignment="1">
      <alignment horizontal="center" vertical="center" wrapText="1"/>
    </xf>
    <xf numFmtId="167" fontId="19" fillId="0" borderId="1" xfId="0" quotePrefix="1" applyNumberFormat="1" applyFont="1" applyFill="1" applyBorder="1" applyAlignment="1">
      <alignment horizontal="center" vertical="center" wrapText="1"/>
    </xf>
    <xf numFmtId="167" fontId="19" fillId="0" borderId="92" xfId="0" quotePrefix="1" applyNumberFormat="1" applyFont="1" applyFill="1" applyBorder="1" applyAlignment="1">
      <alignment horizontal="center" vertical="center" wrapText="1"/>
    </xf>
    <xf numFmtId="167" fontId="19" fillId="0" borderId="30" xfId="0" quotePrefix="1" applyNumberFormat="1" applyFont="1" applyFill="1" applyBorder="1" applyAlignment="1">
      <alignment horizontal="center" vertical="center" wrapText="1"/>
    </xf>
    <xf numFmtId="167" fontId="19" fillId="0" borderId="62" xfId="0" quotePrefix="1" applyNumberFormat="1" applyFont="1" applyFill="1" applyBorder="1" applyAlignment="1">
      <alignment horizontal="center" vertical="center" wrapText="1"/>
    </xf>
    <xf numFmtId="167" fontId="19" fillId="0" borderId="0" xfId="0" quotePrefix="1" applyNumberFormat="1" applyFont="1" applyFill="1" applyBorder="1" applyAlignment="1">
      <alignment horizontal="center" vertical="center" wrapText="1"/>
    </xf>
    <xf numFmtId="167" fontId="19" fillId="0" borderId="13" xfId="0" quotePrefix="1" applyNumberFormat="1" applyFont="1" applyFill="1" applyBorder="1" applyAlignment="1">
      <alignment horizontal="center" vertical="center" wrapText="1"/>
    </xf>
    <xf numFmtId="167" fontId="19" fillId="0" borderId="81" xfId="0" quotePrefix="1" applyNumberFormat="1" applyFont="1" applyFill="1" applyBorder="1" applyAlignment="1">
      <alignment horizontal="center" vertical="center" wrapText="1"/>
    </xf>
    <xf numFmtId="167" fontId="19" fillId="0" borderId="5" xfId="0" quotePrefix="1" applyNumberFormat="1" applyFont="1" applyFill="1" applyBorder="1" applyAlignment="1">
      <alignment horizontal="center" vertical="center" wrapText="1"/>
    </xf>
    <xf numFmtId="167" fontId="19" fillId="0" borderId="80" xfId="0" quotePrefix="1" applyNumberFormat="1" applyFont="1" applyFill="1" applyBorder="1" applyAlignment="1">
      <alignment horizontal="center" vertical="center" wrapText="1"/>
    </xf>
    <xf numFmtId="0" fontId="19" fillId="0" borderId="94" xfId="0" applyFont="1" applyFill="1" applyBorder="1" applyAlignment="1">
      <alignment horizontal="center" vertical="center"/>
    </xf>
    <xf numFmtId="0" fontId="19" fillId="0" borderId="10" xfId="0" applyFont="1" applyFill="1" applyBorder="1" applyAlignment="1">
      <alignment horizontal="center" vertical="center"/>
    </xf>
    <xf numFmtId="167" fontId="68" fillId="31" borderId="73" xfId="0" quotePrefix="1" applyNumberFormat="1" applyFont="1" applyFill="1" applyBorder="1" applyAlignment="1">
      <alignment horizontal="right" vertical="center" wrapText="1"/>
    </xf>
    <xf numFmtId="167" fontId="68" fillId="31" borderId="57" xfId="0" quotePrefix="1" applyNumberFormat="1" applyFont="1" applyFill="1" applyBorder="1" applyAlignment="1">
      <alignment horizontal="right" vertical="center" wrapText="1"/>
    </xf>
    <xf numFmtId="167" fontId="68" fillId="31" borderId="42" xfId="0" quotePrefix="1" applyNumberFormat="1" applyFont="1" applyFill="1" applyBorder="1" applyAlignment="1">
      <alignment horizontal="right" vertical="center" wrapText="1"/>
    </xf>
    <xf numFmtId="0" fontId="68" fillId="35" borderId="50" xfId="0" applyFont="1" applyFill="1" applyBorder="1" applyAlignment="1">
      <alignment horizontal="left" vertical="center" wrapText="1"/>
    </xf>
    <xf numFmtId="0" fontId="68" fillId="35" borderId="46" xfId="0" applyFont="1" applyFill="1" applyBorder="1" applyAlignment="1">
      <alignment horizontal="left" vertical="center" wrapText="1"/>
    </xf>
    <xf numFmtId="0" fontId="68" fillId="35" borderId="47" xfId="0" applyFont="1" applyFill="1" applyBorder="1" applyAlignment="1">
      <alignment horizontal="left" vertical="center" wrapText="1"/>
    </xf>
    <xf numFmtId="2" fontId="68" fillId="0" borderId="25" xfId="0" applyNumberFormat="1" applyFont="1" applyBorder="1" applyAlignment="1">
      <alignment horizontal="center" vertical="center" wrapText="1"/>
    </xf>
    <xf numFmtId="2" fontId="68" fillId="0" borderId="95" xfId="0" applyNumberFormat="1" applyFont="1" applyBorder="1" applyAlignment="1">
      <alignment horizontal="center" vertical="center" wrapText="1"/>
    </xf>
    <xf numFmtId="2" fontId="68" fillId="0" borderId="33" xfId="0" applyNumberFormat="1" applyFont="1" applyBorder="1" applyAlignment="1">
      <alignment horizontal="center" vertical="center" wrapText="1"/>
    </xf>
    <xf numFmtId="0" fontId="68" fillId="31" borderId="81" xfId="0" applyFont="1" applyFill="1" applyBorder="1" applyAlignment="1">
      <alignment horizontal="center" vertical="center" wrapText="1"/>
    </xf>
    <xf numFmtId="0" fontId="68" fillId="31" borderId="4" xfId="0" applyFont="1" applyFill="1" applyBorder="1" applyAlignment="1">
      <alignment horizontal="center" vertical="center" wrapText="1"/>
    </xf>
    <xf numFmtId="0" fontId="68" fillId="31" borderId="5" xfId="0" applyFont="1" applyFill="1" applyBorder="1" applyAlignment="1">
      <alignment horizontal="center" vertical="center" wrapText="1"/>
    </xf>
    <xf numFmtId="0" fontId="68" fillId="31" borderId="80" xfId="0" applyFont="1" applyFill="1" applyBorder="1" applyAlignment="1">
      <alignment horizontal="center" vertical="center" wrapText="1"/>
    </xf>
    <xf numFmtId="2" fontId="19" fillId="0" borderId="94" xfId="0" applyNumberFormat="1" applyFont="1" applyBorder="1" applyAlignment="1">
      <alignment horizontal="center" vertical="center" wrapText="1"/>
    </xf>
    <xf numFmtId="2" fontId="19" fillId="0" borderId="10" xfId="0" applyNumberFormat="1" applyFont="1" applyBorder="1" applyAlignment="1">
      <alignment horizontal="center" vertical="center" wrapText="1"/>
    </xf>
    <xf numFmtId="2" fontId="19" fillId="0" borderId="73" xfId="0" applyNumberFormat="1" applyFont="1" applyBorder="1" applyAlignment="1">
      <alignment horizontal="center" vertical="center" wrapText="1"/>
    </xf>
    <xf numFmtId="2" fontId="19" fillId="0" borderId="57" xfId="0" applyNumberFormat="1" applyFont="1" applyBorder="1" applyAlignment="1">
      <alignment horizontal="center" vertical="center" wrapText="1"/>
    </xf>
    <xf numFmtId="2" fontId="19" fillId="0" borderId="58" xfId="0" applyNumberFormat="1" applyFont="1" applyBorder="1" applyAlignment="1">
      <alignment horizontal="center" vertical="center" wrapText="1"/>
    </xf>
    <xf numFmtId="2" fontId="19" fillId="0" borderId="24" xfId="0" applyNumberFormat="1" applyFont="1" applyBorder="1" applyAlignment="1">
      <alignment horizontal="center" vertical="center" wrapText="1"/>
    </xf>
    <xf numFmtId="2" fontId="19" fillId="0" borderId="6" xfId="0" applyNumberFormat="1" applyFont="1" applyBorder="1" applyAlignment="1">
      <alignment horizontal="center" vertical="center" wrapText="1"/>
    </xf>
    <xf numFmtId="2" fontId="19" fillId="0" borderId="16" xfId="0" applyNumberFormat="1" applyFont="1" applyBorder="1" applyAlignment="1">
      <alignment horizontal="center" vertical="center" wrapText="1"/>
    </xf>
    <xf numFmtId="0" fontId="68" fillId="31" borderId="6" xfId="0" applyFont="1" applyFill="1" applyBorder="1" applyAlignment="1">
      <alignment horizontal="center" vertical="center" wrapText="1"/>
    </xf>
    <xf numFmtId="0" fontId="68" fillId="31" borderId="16" xfId="0" applyFont="1" applyFill="1" applyBorder="1" applyAlignment="1">
      <alignment horizontal="center" vertical="center" wrapText="1"/>
    </xf>
    <xf numFmtId="167" fontId="19" fillId="0" borderId="6" xfId="0" applyNumberFormat="1" applyFont="1" applyFill="1" applyBorder="1" applyAlignment="1">
      <alignment horizontal="right" vertical="center" wrapText="1"/>
    </xf>
    <xf numFmtId="167" fontId="19" fillId="0" borderId="16" xfId="0" applyNumberFormat="1" applyFont="1" applyFill="1" applyBorder="1" applyAlignment="1">
      <alignment horizontal="right" vertical="center" wrapText="1"/>
    </xf>
    <xf numFmtId="0" fontId="68" fillId="31" borderId="73" xfId="0" applyFont="1" applyFill="1" applyBorder="1" applyAlignment="1">
      <alignment horizontal="right" vertical="center" wrapText="1"/>
    </xf>
    <xf numFmtId="0" fontId="68" fillId="31" borderId="57" xfId="0" applyFont="1" applyFill="1" applyBorder="1" applyAlignment="1">
      <alignment horizontal="right" vertical="center" wrapText="1"/>
    </xf>
    <xf numFmtId="0" fontId="68" fillId="31" borderId="42" xfId="0" applyFont="1" applyFill="1" applyBorder="1" applyAlignment="1">
      <alignment horizontal="right" vertical="center" wrapText="1"/>
    </xf>
    <xf numFmtId="0" fontId="19" fillId="0" borderId="3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51"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3" xfId="0" applyFont="1" applyFill="1" applyBorder="1" applyAlignment="1">
      <alignment horizontal="center" vertical="center" wrapText="1"/>
    </xf>
    <xf numFmtId="2" fontId="68" fillId="0" borderId="25" xfId="0" applyNumberFormat="1" applyFont="1" applyFill="1" applyBorder="1" applyAlignment="1">
      <alignment horizontal="center" vertical="center" wrapText="1"/>
    </xf>
    <xf numFmtId="2" fontId="68" fillId="0" borderId="95" xfId="0" applyNumberFormat="1" applyFont="1" applyFill="1" applyBorder="1" applyAlignment="1">
      <alignment horizontal="center" vertical="center" wrapText="1"/>
    </xf>
    <xf numFmtId="2" fontId="68" fillId="0" borderId="33" xfId="0" applyNumberFormat="1" applyFont="1" applyFill="1" applyBorder="1" applyAlignment="1">
      <alignment horizontal="center" vertical="center" wrapText="1"/>
    </xf>
    <xf numFmtId="0" fontId="68" fillId="0" borderId="25" xfId="0" applyFont="1" applyFill="1" applyBorder="1" applyAlignment="1">
      <alignment horizontal="center" vertical="center" wrapText="1"/>
    </xf>
    <xf numFmtId="0" fontId="68" fillId="0" borderId="10" xfId="0" applyFont="1" applyFill="1" applyBorder="1" applyAlignment="1">
      <alignment horizontal="center" vertical="center" wrapText="1"/>
    </xf>
    <xf numFmtId="0" fontId="68" fillId="0" borderId="94" xfId="0" applyFont="1" applyFill="1" applyBorder="1" applyAlignment="1">
      <alignment horizontal="center" vertical="center" wrapText="1"/>
    </xf>
    <xf numFmtId="0" fontId="68" fillId="0" borderId="95" xfId="0" applyFont="1" applyFill="1" applyBorder="1" applyAlignment="1">
      <alignment horizontal="center" vertical="center" wrapText="1"/>
    </xf>
    <xf numFmtId="0" fontId="68" fillId="0" borderId="33" xfId="0" applyFont="1" applyFill="1" applyBorder="1" applyAlignment="1">
      <alignment horizontal="center" vertical="center" wrapText="1"/>
    </xf>
    <xf numFmtId="167" fontId="19" fillId="0" borderId="25" xfId="0" quotePrefix="1" applyNumberFormat="1" applyFont="1" applyFill="1" applyBorder="1" applyAlignment="1">
      <alignment horizontal="center" vertical="center" wrapText="1"/>
    </xf>
    <xf numFmtId="167" fontId="19" fillId="0" borderId="10" xfId="0" quotePrefix="1" applyNumberFormat="1"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92" xfId="0" applyFont="1" applyFill="1" applyBorder="1" applyAlignment="1">
      <alignment horizontal="center" vertical="center"/>
    </xf>
    <xf numFmtId="0" fontId="19" fillId="0" borderId="30" xfId="0" applyFont="1" applyFill="1" applyBorder="1" applyAlignment="1">
      <alignment horizontal="center" vertical="center"/>
    </xf>
    <xf numFmtId="0" fontId="68" fillId="31" borderId="40" xfId="0" applyFont="1" applyFill="1" applyBorder="1" applyAlignment="1">
      <alignment horizontal="center" vertical="center" wrapText="1"/>
    </xf>
    <xf numFmtId="0" fontId="68" fillId="31" borderId="57" xfId="0" applyFont="1" applyFill="1" applyBorder="1" applyAlignment="1">
      <alignment horizontal="center" vertical="center" wrapText="1"/>
    </xf>
    <xf numFmtId="0" fontId="68" fillId="31" borderId="58"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15" xfId="0" applyFont="1" applyFill="1" applyBorder="1" applyAlignment="1">
      <alignment horizontal="center" vertical="center" wrapText="1"/>
    </xf>
    <xf numFmtId="167" fontId="19" fillId="0" borderId="1" xfId="0" applyNumberFormat="1" applyFont="1" applyFill="1" applyBorder="1" applyAlignment="1">
      <alignment horizontal="center" vertical="center" wrapText="1"/>
    </xf>
    <xf numFmtId="167" fontId="19" fillId="0" borderId="92" xfId="0" applyNumberFormat="1" applyFont="1" applyFill="1" applyBorder="1" applyAlignment="1">
      <alignment horizontal="center" vertical="center" wrapText="1"/>
    </xf>
    <xf numFmtId="167" fontId="19" fillId="0" borderId="30" xfId="0" applyNumberFormat="1" applyFont="1" applyFill="1" applyBorder="1" applyAlignment="1">
      <alignment horizontal="center" vertical="center" wrapText="1"/>
    </xf>
    <xf numFmtId="0" fontId="68" fillId="0" borderId="54" xfId="0" applyFont="1" applyFill="1" applyBorder="1" applyAlignment="1">
      <alignment horizontal="center" vertical="center" wrapText="1"/>
    </xf>
    <xf numFmtId="0" fontId="68" fillId="0" borderId="43" xfId="0" applyFont="1" applyFill="1" applyBorder="1" applyAlignment="1">
      <alignment horizontal="center" vertical="center" wrapText="1"/>
    </xf>
    <xf numFmtId="0" fontId="68" fillId="0" borderId="55" xfId="0" applyFont="1" applyFill="1" applyBorder="1" applyAlignment="1">
      <alignment horizontal="center" vertical="center" wrapText="1"/>
    </xf>
    <xf numFmtId="2" fontId="19" fillId="0" borderId="94" xfId="0" applyNumberFormat="1" applyFont="1" applyFill="1" applyBorder="1" applyAlignment="1">
      <alignment horizontal="center" vertical="center" wrapText="1"/>
    </xf>
    <xf numFmtId="2" fontId="19" fillId="0" borderId="10" xfId="0" applyNumberFormat="1" applyFont="1" applyFill="1" applyBorder="1" applyAlignment="1">
      <alignment horizontal="center" vertical="center" wrapText="1"/>
    </xf>
    <xf numFmtId="167" fontId="19" fillId="0" borderId="94" xfId="0" applyNumberFormat="1" applyFont="1" applyFill="1" applyBorder="1" applyAlignment="1">
      <alignment horizontal="center" vertical="center" wrapText="1"/>
    </xf>
    <xf numFmtId="167" fontId="19" fillId="0" borderId="95" xfId="0" applyNumberFormat="1" applyFont="1" applyFill="1" applyBorder="1" applyAlignment="1">
      <alignment horizontal="center" vertical="center" wrapText="1"/>
    </xf>
    <xf numFmtId="167" fontId="19" fillId="0" borderId="33" xfId="0" applyNumberFormat="1" applyFont="1" applyFill="1" applyBorder="1" applyAlignment="1">
      <alignment horizontal="center" vertical="center" wrapText="1"/>
    </xf>
    <xf numFmtId="2" fontId="68" fillId="31" borderId="57" xfId="0" applyNumberFormat="1" applyFont="1" applyFill="1" applyBorder="1" applyAlignment="1">
      <alignment horizontal="center" vertical="center" wrapText="1"/>
    </xf>
    <xf numFmtId="2" fontId="68" fillId="31" borderId="42" xfId="0" applyNumberFormat="1"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95"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68" fillId="31" borderId="1" xfId="0" applyFont="1" applyFill="1" applyBorder="1" applyAlignment="1">
      <alignment horizontal="center" vertical="center"/>
    </xf>
    <xf numFmtId="0" fontId="68" fillId="31" borderId="30" xfId="0" applyFont="1" applyFill="1" applyBorder="1" applyAlignment="1">
      <alignment horizontal="center" vertical="center"/>
    </xf>
    <xf numFmtId="0" fontId="68" fillId="0" borderId="62" xfId="0" applyFont="1" applyFill="1" applyBorder="1" applyAlignment="1">
      <alignment horizontal="center" vertical="center"/>
    </xf>
    <xf numFmtId="0" fontId="68" fillId="0" borderId="13" xfId="0" applyFont="1" applyFill="1" applyBorder="1" applyAlignment="1">
      <alignment horizontal="center" vertical="center"/>
    </xf>
    <xf numFmtId="0" fontId="68" fillId="41" borderId="73" xfId="0" quotePrefix="1" applyFont="1" applyFill="1" applyBorder="1" applyAlignment="1">
      <alignment horizontal="right" vertical="center" wrapText="1"/>
    </xf>
    <xf numFmtId="0" fontId="68" fillId="41" borderId="57" xfId="0" quotePrefix="1" applyFont="1" applyFill="1" applyBorder="1" applyAlignment="1">
      <alignment horizontal="right" vertical="center" wrapText="1"/>
    </xf>
    <xf numFmtId="0" fontId="68" fillId="41" borderId="42" xfId="0" quotePrefix="1" applyFont="1" applyFill="1" applyBorder="1" applyAlignment="1">
      <alignment horizontal="right" vertical="center" wrapText="1"/>
    </xf>
    <xf numFmtId="0" fontId="10" fillId="0" borderId="55" xfId="0" applyFont="1" applyBorder="1" applyAlignment="1">
      <alignment horizontal="left" vertical="center" wrapText="1"/>
    </xf>
    <xf numFmtId="0" fontId="68" fillId="0" borderId="94" xfId="0" applyFont="1" applyFill="1" applyBorder="1" applyAlignment="1">
      <alignment horizontal="center" vertical="center"/>
    </xf>
    <xf numFmtId="0" fontId="68" fillId="0" borderId="95" xfId="0" applyFont="1" applyFill="1" applyBorder="1" applyAlignment="1">
      <alignment horizontal="center" vertical="center"/>
    </xf>
    <xf numFmtId="0" fontId="68" fillId="0" borderId="33" xfId="0" applyFont="1" applyFill="1" applyBorder="1" applyAlignment="1">
      <alignment horizontal="center" vertical="center"/>
    </xf>
    <xf numFmtId="2" fontId="19" fillId="0" borderId="24" xfId="0" applyNumberFormat="1" applyFont="1" applyFill="1" applyBorder="1" applyAlignment="1">
      <alignment horizontal="center" vertical="center" wrapText="1"/>
    </xf>
    <xf numFmtId="2" fontId="19" fillId="0" borderId="6" xfId="0" applyNumberFormat="1" applyFont="1" applyFill="1" applyBorder="1" applyAlignment="1">
      <alignment horizontal="center" vertical="center" wrapText="1"/>
    </xf>
    <xf numFmtId="2" fontId="19" fillId="0" borderId="16" xfId="0" applyNumberFormat="1" applyFont="1" applyFill="1" applyBorder="1" applyAlignment="1">
      <alignment horizontal="center" vertical="center" wrapText="1"/>
    </xf>
    <xf numFmtId="167" fontId="19" fillId="0" borderId="81" xfId="0" applyNumberFormat="1" applyFont="1" applyFill="1" applyBorder="1" applyAlignment="1">
      <alignment horizontal="center" vertical="center" wrapText="1"/>
    </xf>
    <xf numFmtId="167" fontId="19" fillId="0" borderId="5" xfId="0" applyNumberFormat="1" applyFont="1" applyFill="1" applyBorder="1" applyAlignment="1">
      <alignment horizontal="center" vertical="center" wrapText="1"/>
    </xf>
    <xf numFmtId="167" fontId="19" fillId="0" borderId="80" xfId="0" applyNumberFormat="1" applyFont="1" applyFill="1" applyBorder="1" applyAlignment="1">
      <alignment horizontal="center" vertical="center" wrapText="1"/>
    </xf>
    <xf numFmtId="0" fontId="68" fillId="0" borderId="40" xfId="0" applyFont="1" applyFill="1" applyBorder="1" applyAlignment="1">
      <alignment horizontal="center" vertical="center" wrapText="1"/>
    </xf>
    <xf numFmtId="0" fontId="68" fillId="0" borderId="57" xfId="0" applyFont="1" applyFill="1" applyBorder="1" applyAlignment="1">
      <alignment horizontal="center" vertical="center" wrapText="1"/>
    </xf>
    <xf numFmtId="0" fontId="68" fillId="0" borderId="58" xfId="0" applyFont="1" applyFill="1" applyBorder="1" applyAlignment="1">
      <alignment horizontal="center" vertical="center" wrapText="1"/>
    </xf>
    <xf numFmtId="0" fontId="19" fillId="0" borderId="37" xfId="0" applyFont="1" applyBorder="1" applyAlignment="1">
      <alignment horizontal="left" vertical="center" wrapText="1"/>
    </xf>
    <xf numFmtId="0" fontId="19" fillId="0" borderId="39" xfId="0" applyFont="1" applyBorder="1" applyAlignment="1">
      <alignment horizontal="left" vertical="center" wrapText="1"/>
    </xf>
    <xf numFmtId="0" fontId="95" fillId="38" borderId="54" xfId="0" applyFont="1" applyFill="1" applyBorder="1" applyAlignment="1">
      <alignment horizontal="center" vertical="center"/>
    </xf>
    <xf numFmtId="0" fontId="95" fillId="38" borderId="43" xfId="0" applyFont="1" applyFill="1" applyBorder="1" applyAlignment="1">
      <alignment horizontal="center" vertical="center"/>
    </xf>
    <xf numFmtId="0" fontId="95" fillId="38" borderId="55" xfId="0" applyFont="1" applyFill="1" applyBorder="1" applyAlignment="1">
      <alignment horizontal="center" vertical="center"/>
    </xf>
    <xf numFmtId="0" fontId="83" fillId="36" borderId="54" xfId="0" applyFont="1" applyFill="1" applyBorder="1" applyAlignment="1">
      <alignment horizontal="center" vertical="center"/>
    </xf>
    <xf numFmtId="0" fontId="83" fillId="36" borderId="55" xfId="0" applyFont="1" applyFill="1" applyBorder="1" applyAlignment="1">
      <alignment horizontal="center" vertical="center"/>
    </xf>
    <xf numFmtId="0" fontId="82" fillId="37" borderId="54" xfId="0" applyFont="1" applyFill="1" applyBorder="1" applyAlignment="1">
      <alignment horizontal="center" vertical="center" wrapText="1"/>
    </xf>
    <xf numFmtId="0" fontId="82" fillId="37" borderId="43" xfId="0" applyFont="1" applyFill="1" applyBorder="1" applyAlignment="1">
      <alignment horizontal="center" vertical="center" wrapText="1"/>
    </xf>
    <xf numFmtId="0" fontId="82" fillId="37" borderId="55" xfId="0" applyFont="1" applyFill="1" applyBorder="1" applyAlignment="1">
      <alignment horizontal="center" vertical="center" wrapText="1"/>
    </xf>
    <xf numFmtId="0" fontId="19" fillId="0" borderId="43" xfId="0" applyFont="1" applyBorder="1" applyAlignment="1">
      <alignment horizontal="left" vertical="center" wrapText="1"/>
    </xf>
    <xf numFmtId="0" fontId="19" fillId="0" borderId="55" xfId="0" applyFont="1" applyBorder="1" applyAlignment="1">
      <alignment horizontal="left" vertical="center" wrapText="1"/>
    </xf>
    <xf numFmtId="0" fontId="96" fillId="45" borderId="54" xfId="0" applyFont="1" applyFill="1" applyBorder="1" applyAlignment="1">
      <alignment horizontal="center" wrapText="1"/>
    </xf>
    <xf numFmtId="0" fontId="96" fillId="45" borderId="43" xfId="0" applyFont="1" applyFill="1" applyBorder="1" applyAlignment="1">
      <alignment horizontal="center" wrapText="1"/>
    </xf>
    <xf numFmtId="0" fontId="96" fillId="45" borderId="103" xfId="0" applyFont="1" applyFill="1" applyBorder="1" applyAlignment="1">
      <alignment horizontal="center" wrapText="1"/>
    </xf>
    <xf numFmtId="0" fontId="97" fillId="44" borderId="54" xfId="0" applyFont="1" applyFill="1" applyBorder="1" applyAlignment="1">
      <alignment horizontal="center"/>
    </xf>
    <xf numFmtId="0" fontId="97" fillId="44" borderId="43" xfId="0" applyFont="1" applyFill="1" applyBorder="1" applyAlignment="1">
      <alignment horizontal="center"/>
    </xf>
    <xf numFmtId="0" fontId="97" fillId="44" borderId="103" xfId="0" applyFont="1" applyFill="1" applyBorder="1" applyAlignment="1">
      <alignment horizontal="center"/>
    </xf>
    <xf numFmtId="0" fontId="97" fillId="44" borderId="104" xfId="0" applyFont="1" applyFill="1" applyBorder="1" applyAlignment="1">
      <alignment horizontal="center"/>
    </xf>
    <xf numFmtId="0" fontId="97" fillId="44" borderId="105" xfId="0" applyFont="1" applyFill="1" applyBorder="1" applyAlignment="1">
      <alignment horizontal="center"/>
    </xf>
    <xf numFmtId="0" fontId="97" fillId="44" borderId="106" xfId="0" applyFont="1" applyFill="1" applyBorder="1" applyAlignment="1">
      <alignment horizontal="center"/>
    </xf>
    <xf numFmtId="0" fontId="0" fillId="0" borderId="0" xfId="0" applyAlignment="1">
      <alignment horizontal="center"/>
    </xf>
    <xf numFmtId="0" fontId="68" fillId="35" borderId="38" xfId="0" applyNumberFormat="1" applyFont="1" applyFill="1" applyBorder="1" applyAlignment="1" applyProtection="1">
      <alignment horizontal="left" vertical="center"/>
    </xf>
    <xf numFmtId="0" fontId="68" fillId="35" borderId="43" xfId="0" applyNumberFormat="1" applyFont="1" applyFill="1" applyBorder="1" applyAlignment="1" applyProtection="1">
      <alignment horizontal="left" vertical="center"/>
    </xf>
    <xf numFmtId="0" fontId="68" fillId="35" borderId="55" xfId="0" applyNumberFormat="1" applyFont="1" applyFill="1" applyBorder="1" applyAlignment="1" applyProtection="1">
      <alignment horizontal="left" vertical="center"/>
    </xf>
    <xf numFmtId="0" fontId="19" fillId="0" borderId="79" xfId="0" applyNumberFormat="1" applyFont="1" applyFill="1" applyBorder="1" applyAlignment="1" applyProtection="1">
      <alignment horizontal="center" vertical="center" wrapText="1"/>
    </xf>
    <xf numFmtId="0" fontId="19" fillId="0" borderId="5" xfId="0" applyNumberFormat="1" applyFont="1" applyFill="1" applyBorder="1" applyAlignment="1" applyProtection="1">
      <alignment horizontal="center" vertical="center" wrapText="1"/>
    </xf>
    <xf numFmtId="0" fontId="19" fillId="0" borderId="80" xfId="0" applyNumberFormat="1" applyFont="1" applyFill="1" applyBorder="1" applyAlignment="1" applyProtection="1">
      <alignment horizontal="center" vertical="center" wrapText="1"/>
    </xf>
    <xf numFmtId="2" fontId="19" fillId="0" borderId="25" xfId="0" applyNumberFormat="1" applyFont="1" applyFill="1" applyBorder="1" applyAlignment="1" applyProtection="1">
      <alignment horizontal="center" vertical="center" wrapText="1"/>
    </xf>
    <xf numFmtId="2" fontId="19" fillId="0" borderId="95" xfId="0" applyNumberFormat="1" applyFont="1" applyFill="1" applyBorder="1" applyAlignment="1" applyProtection="1">
      <alignment horizontal="center" vertical="center" wrapText="1"/>
    </xf>
    <xf numFmtId="2" fontId="19" fillId="0" borderId="33"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xf>
    <xf numFmtId="0" fontId="19" fillId="0" borderId="61" xfId="0" applyNumberFormat="1" applyFont="1" applyFill="1" applyBorder="1" applyAlignment="1" applyProtection="1">
      <alignment horizontal="center" vertical="center"/>
    </xf>
    <xf numFmtId="0" fontId="68" fillId="42" borderId="95" xfId="0" applyNumberFormat="1" applyFont="1" applyFill="1" applyBorder="1" applyAlignment="1" applyProtection="1">
      <alignment horizontal="center" vertical="center"/>
    </xf>
    <xf numFmtId="0" fontId="68" fillId="42" borderId="33" xfId="0" applyNumberFormat="1" applyFont="1" applyFill="1" applyBorder="1" applyAlignment="1" applyProtection="1">
      <alignment horizontal="center" vertical="center"/>
    </xf>
    <xf numFmtId="0" fontId="19" fillId="0" borderId="95" xfId="0" applyNumberFormat="1" applyFont="1" applyFill="1" applyBorder="1" applyAlignment="1" applyProtection="1">
      <alignment horizontal="justify" vertical="center" wrapText="1"/>
    </xf>
    <xf numFmtId="0" fontId="19" fillId="0" borderId="33" xfId="0" applyNumberFormat="1" applyFont="1" applyFill="1" applyBorder="1" applyAlignment="1" applyProtection="1">
      <alignment horizontal="justify" vertical="center" wrapText="1"/>
    </xf>
    <xf numFmtId="0" fontId="68" fillId="0" borderId="26" xfId="0" applyNumberFormat="1" applyFont="1" applyFill="1" applyBorder="1" applyAlignment="1" applyProtection="1">
      <alignment horizontal="center" vertical="center"/>
    </xf>
    <xf numFmtId="0" fontId="68" fillId="0" borderId="34" xfId="0" applyNumberFormat="1" applyFont="1" applyFill="1" applyBorder="1" applyAlignment="1" applyProtection="1">
      <alignment horizontal="center" vertical="center"/>
    </xf>
    <xf numFmtId="0" fontId="68" fillId="0" borderId="28"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xf>
    <xf numFmtId="2" fontId="68" fillId="0" borderId="0" xfId="0" applyNumberFormat="1" applyFont="1" applyFill="1" applyBorder="1" applyAlignment="1" applyProtection="1">
      <alignment horizontal="left" vertical="center" wrapText="1"/>
    </xf>
    <xf numFmtId="0" fontId="68" fillId="0" borderId="0" xfId="0" applyNumberFormat="1" applyFont="1" applyFill="1" applyBorder="1" applyAlignment="1" applyProtection="1">
      <alignment horizontal="justify" vertical="center" wrapText="1"/>
    </xf>
    <xf numFmtId="0" fontId="68" fillId="0" borderId="54" xfId="0" applyNumberFormat="1" applyFont="1" applyFill="1" applyBorder="1" applyAlignment="1" applyProtection="1">
      <alignment horizontal="center" vertical="center"/>
    </xf>
    <xf numFmtId="0" fontId="68" fillId="0" borderId="43" xfId="0" applyNumberFormat="1" applyFont="1" applyFill="1" applyBorder="1" applyAlignment="1" applyProtection="1">
      <alignment horizontal="center" vertical="center"/>
    </xf>
    <xf numFmtId="0" fontId="68" fillId="0" borderId="55" xfId="0" applyNumberFormat="1" applyFont="1" applyFill="1" applyBorder="1" applyAlignment="1" applyProtection="1">
      <alignment horizontal="center" vertical="center"/>
    </xf>
    <xf numFmtId="167" fontId="19" fillId="0" borderId="94" xfId="0" quotePrefix="1" applyNumberFormat="1" applyFont="1" applyFill="1" applyBorder="1" applyAlignment="1" applyProtection="1">
      <alignment horizontal="center" vertical="center" wrapText="1"/>
    </xf>
    <xf numFmtId="167" fontId="19" fillId="0" borderId="10" xfId="0" quotePrefix="1" applyNumberFormat="1" applyFont="1" applyFill="1" applyBorder="1" applyAlignment="1" applyProtection="1">
      <alignment horizontal="center" vertical="center" wrapText="1"/>
    </xf>
    <xf numFmtId="167" fontId="19" fillId="0" borderId="1" xfId="0" quotePrefix="1" applyNumberFormat="1" applyFont="1" applyFill="1" applyBorder="1" applyAlignment="1" applyProtection="1">
      <alignment horizontal="center" vertical="center" wrapText="1"/>
    </xf>
    <xf numFmtId="167" fontId="19" fillId="0" borderId="92" xfId="0" quotePrefix="1" applyNumberFormat="1" applyFont="1" applyFill="1" applyBorder="1" applyAlignment="1" applyProtection="1">
      <alignment horizontal="center" vertical="center" wrapText="1"/>
    </xf>
    <xf numFmtId="167" fontId="19" fillId="0" borderId="30" xfId="0" quotePrefix="1" applyNumberFormat="1" applyFont="1" applyFill="1" applyBorder="1" applyAlignment="1" applyProtection="1">
      <alignment horizontal="center" vertical="center" wrapText="1"/>
    </xf>
    <xf numFmtId="167" fontId="19" fillId="0" borderId="62" xfId="0" quotePrefix="1" applyNumberFormat="1" applyFont="1" applyFill="1" applyBorder="1" applyAlignment="1" applyProtection="1">
      <alignment horizontal="center" vertical="center" wrapText="1"/>
    </xf>
    <xf numFmtId="167" fontId="19" fillId="0" borderId="0" xfId="0" quotePrefix="1" applyNumberFormat="1" applyFont="1" applyFill="1" applyBorder="1" applyAlignment="1" applyProtection="1">
      <alignment horizontal="center" vertical="center" wrapText="1"/>
    </xf>
    <xf numFmtId="167" fontId="19" fillId="0" borderId="13" xfId="0" quotePrefix="1" applyNumberFormat="1" applyFont="1" applyFill="1" applyBorder="1" applyAlignment="1" applyProtection="1">
      <alignment horizontal="center" vertical="center" wrapText="1"/>
    </xf>
    <xf numFmtId="167" fontId="19" fillId="0" borderId="81" xfId="0" quotePrefix="1" applyNumberFormat="1" applyFont="1" applyFill="1" applyBorder="1" applyAlignment="1" applyProtection="1">
      <alignment horizontal="center" vertical="center" wrapText="1"/>
    </xf>
    <xf numFmtId="167" fontId="19" fillId="0" borderId="5" xfId="0" quotePrefix="1" applyNumberFormat="1" applyFont="1" applyFill="1" applyBorder="1" applyAlignment="1" applyProtection="1">
      <alignment horizontal="center" vertical="center" wrapText="1"/>
    </xf>
    <xf numFmtId="167" fontId="19" fillId="0" borderId="80" xfId="0" quotePrefix="1" applyNumberFormat="1" applyFont="1" applyFill="1" applyBorder="1" applyAlignment="1" applyProtection="1">
      <alignment horizontal="center" vertical="center" wrapText="1"/>
    </xf>
    <xf numFmtId="0" fontId="19" fillId="0" borderId="94" xfId="0" applyNumberFormat="1" applyFont="1" applyFill="1" applyBorder="1" applyAlignment="1" applyProtection="1">
      <alignment horizontal="center" vertical="center"/>
    </xf>
    <xf numFmtId="0" fontId="19" fillId="0" borderId="10" xfId="0" applyNumberFormat="1" applyFont="1" applyFill="1" applyBorder="1" applyAlignment="1" applyProtection="1">
      <alignment horizontal="center" vertical="center"/>
    </xf>
    <xf numFmtId="167" fontId="68" fillId="42" borderId="73" xfId="0" quotePrefix="1" applyNumberFormat="1" applyFont="1" applyFill="1" applyBorder="1" applyAlignment="1" applyProtection="1">
      <alignment horizontal="right" vertical="center" wrapText="1"/>
    </xf>
    <xf numFmtId="167" fontId="68" fillId="42" borderId="57" xfId="0" quotePrefix="1" applyNumberFormat="1" applyFont="1" applyFill="1" applyBorder="1" applyAlignment="1" applyProtection="1">
      <alignment horizontal="right" vertical="center" wrapText="1"/>
    </xf>
    <xf numFmtId="167" fontId="68" fillId="42" borderId="42" xfId="0" quotePrefix="1" applyNumberFormat="1" applyFont="1" applyFill="1" applyBorder="1" applyAlignment="1" applyProtection="1">
      <alignment horizontal="right" vertical="center" wrapText="1"/>
    </xf>
    <xf numFmtId="0" fontId="68" fillId="35" borderId="50" xfId="0" applyNumberFormat="1" applyFont="1" applyFill="1" applyBorder="1" applyAlignment="1" applyProtection="1">
      <alignment horizontal="left" vertical="center" wrapText="1"/>
    </xf>
    <xf numFmtId="0" fontId="68" fillId="35" borderId="46" xfId="0" applyNumberFormat="1" applyFont="1" applyFill="1" applyBorder="1" applyAlignment="1" applyProtection="1">
      <alignment horizontal="left" vertical="center" wrapText="1"/>
    </xf>
    <xf numFmtId="0" fontId="68" fillId="35" borderId="47" xfId="0" applyNumberFormat="1" applyFont="1" applyFill="1" applyBorder="1" applyAlignment="1" applyProtection="1">
      <alignment horizontal="left" vertical="center" wrapText="1"/>
    </xf>
    <xf numFmtId="0" fontId="19" fillId="0" borderId="25" xfId="0" applyNumberFormat="1" applyFont="1" applyFill="1" applyBorder="1" applyAlignment="1" applyProtection="1">
      <alignment horizontal="center" vertical="center" wrapText="1"/>
    </xf>
    <xf numFmtId="0" fontId="19" fillId="0" borderId="95" xfId="0" applyNumberFormat="1" applyFont="1" applyFill="1" applyBorder="1" applyAlignment="1" applyProtection="1">
      <alignment horizontal="center" vertical="center" wrapText="1"/>
    </xf>
    <xf numFmtId="0" fontId="19" fillId="0" borderId="33" xfId="0" applyNumberFormat="1" applyFont="1" applyFill="1" applyBorder="1" applyAlignment="1" applyProtection="1">
      <alignment horizontal="center" vertical="center" wrapText="1"/>
    </xf>
    <xf numFmtId="2" fontId="68" fillId="0" borderId="25" xfId="0" applyNumberFormat="1" applyFont="1" applyFill="1" applyBorder="1" applyAlignment="1" applyProtection="1">
      <alignment horizontal="center" vertical="center" wrapText="1"/>
    </xf>
    <xf numFmtId="2" fontId="68" fillId="0" borderId="95" xfId="0" applyNumberFormat="1" applyFont="1" applyFill="1" applyBorder="1" applyAlignment="1" applyProtection="1">
      <alignment horizontal="center" vertical="center" wrapText="1"/>
    </xf>
    <xf numFmtId="2" fontId="68" fillId="0" borderId="33" xfId="0" applyNumberFormat="1" applyFont="1" applyFill="1" applyBorder="1" applyAlignment="1" applyProtection="1">
      <alignment horizontal="center" vertical="center" wrapText="1"/>
    </xf>
    <xf numFmtId="0" fontId="68" fillId="42" borderId="81" xfId="0" applyNumberFormat="1" applyFont="1" applyFill="1" applyBorder="1" applyAlignment="1" applyProtection="1">
      <alignment horizontal="center" vertical="center" wrapText="1"/>
    </xf>
    <xf numFmtId="0" fontId="68" fillId="42" borderId="4" xfId="0" applyNumberFormat="1" applyFont="1" applyFill="1" applyBorder="1" applyAlignment="1" applyProtection="1">
      <alignment horizontal="center" vertical="center" wrapText="1"/>
    </xf>
    <xf numFmtId="0" fontId="68" fillId="42" borderId="5" xfId="0" applyNumberFormat="1" applyFont="1" applyFill="1" applyBorder="1" applyAlignment="1" applyProtection="1">
      <alignment horizontal="center" vertical="center" wrapText="1"/>
    </xf>
    <xf numFmtId="0" fontId="68" fillId="42" borderId="80" xfId="0" applyNumberFormat="1" applyFont="1" applyFill="1" applyBorder="1" applyAlignment="1" applyProtection="1">
      <alignment horizontal="center" vertical="center" wrapText="1"/>
    </xf>
    <xf numFmtId="0" fontId="68" fillId="42" borderId="73" xfId="0" applyNumberFormat="1" applyFont="1" applyFill="1" applyBorder="1" applyAlignment="1" applyProtection="1">
      <alignment horizontal="right" vertical="center"/>
    </xf>
    <xf numFmtId="0" fontId="68" fillId="42" borderId="42" xfId="0" applyNumberFormat="1" applyFont="1" applyFill="1" applyBorder="1" applyAlignment="1" applyProtection="1">
      <alignment horizontal="right" vertical="center"/>
    </xf>
    <xf numFmtId="0" fontId="19" fillId="42" borderId="40" xfId="0" applyNumberFormat="1" applyFont="1" applyFill="1" applyBorder="1" applyAlignment="1" applyProtection="1">
      <alignment horizontal="center" vertical="center" wrapText="1"/>
    </xf>
    <xf numFmtId="0" fontId="19" fillId="42" borderId="57" xfId="0" applyNumberFormat="1" applyFont="1" applyFill="1" applyBorder="1" applyAlignment="1" applyProtection="1">
      <alignment horizontal="center" vertical="center" wrapText="1"/>
    </xf>
    <xf numFmtId="0" fontId="19" fillId="42" borderId="58" xfId="0" applyNumberFormat="1" applyFont="1" applyFill="1" applyBorder="1" applyAlignment="1" applyProtection="1">
      <alignment horizontal="center" vertical="center" wrapText="1"/>
    </xf>
    <xf numFmtId="2" fontId="68" fillId="0" borderId="29" xfId="0" applyNumberFormat="1" applyFont="1" applyFill="1" applyBorder="1" applyAlignment="1" applyProtection="1">
      <alignment horizontal="center" vertical="center" wrapText="1"/>
    </xf>
    <xf numFmtId="2" fontId="68" fillId="0" borderId="92" xfId="0" applyNumberFormat="1" applyFont="1" applyFill="1" applyBorder="1" applyAlignment="1" applyProtection="1">
      <alignment horizontal="center" vertical="center" wrapText="1"/>
    </xf>
    <xf numFmtId="2" fontId="68" fillId="0" borderId="30" xfId="0" applyNumberFormat="1" applyFont="1" applyFill="1" applyBorder="1" applyAlignment="1" applyProtection="1">
      <alignment horizontal="center" vertical="center" wrapText="1"/>
    </xf>
    <xf numFmtId="0" fontId="68" fillId="42" borderId="94" xfId="0" applyNumberFormat="1" applyFont="1" applyFill="1" applyBorder="1" applyAlignment="1" applyProtection="1">
      <alignment horizontal="center" vertical="center" wrapText="1"/>
    </xf>
    <xf numFmtId="0" fontId="68" fillId="42" borderId="95" xfId="0" applyNumberFormat="1" applyFont="1" applyFill="1" applyBorder="1" applyAlignment="1" applyProtection="1">
      <alignment horizontal="center" vertical="center" wrapText="1"/>
    </xf>
    <xf numFmtId="0" fontId="68" fillId="42" borderId="33" xfId="0" applyNumberFormat="1" applyFont="1" applyFill="1" applyBorder="1" applyAlignment="1" applyProtection="1">
      <alignment horizontal="center" vertical="center" wrapText="1"/>
    </xf>
    <xf numFmtId="2" fontId="19" fillId="0" borderId="73" xfId="0" applyNumberFormat="1" applyFont="1" applyFill="1" applyBorder="1" applyAlignment="1" applyProtection="1">
      <alignment horizontal="center" vertical="center" wrapText="1"/>
    </xf>
    <xf numFmtId="2" fontId="19" fillId="0" borderId="57" xfId="0" applyNumberFormat="1" applyFont="1" applyFill="1" applyBorder="1" applyAlignment="1" applyProtection="1">
      <alignment horizontal="center" vertical="center" wrapText="1"/>
    </xf>
    <xf numFmtId="2" fontId="19" fillId="0" borderId="58" xfId="0" applyNumberFormat="1" applyFont="1" applyFill="1" applyBorder="1" applyAlignment="1" applyProtection="1">
      <alignment horizontal="center" vertical="center" wrapText="1"/>
    </xf>
    <xf numFmtId="0" fontId="19" fillId="0" borderId="51" xfId="0" applyNumberFormat="1" applyFont="1" applyFill="1" applyBorder="1" applyAlignment="1" applyProtection="1">
      <alignment horizontal="center" vertical="center" wrapText="1"/>
    </xf>
    <xf numFmtId="0" fontId="19" fillId="0" borderId="52"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xf>
    <xf numFmtId="2" fontId="19" fillId="0" borderId="94" xfId="0" applyNumberFormat="1" applyFont="1" applyFill="1" applyBorder="1" applyAlignment="1" applyProtection="1">
      <alignment horizontal="center" vertical="center" wrapText="1"/>
    </xf>
    <xf numFmtId="2" fontId="19" fillId="0" borderId="10"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xf>
    <xf numFmtId="0" fontId="68" fillId="42" borderId="79" xfId="0" applyNumberFormat="1" applyFont="1" applyFill="1" applyBorder="1" applyAlignment="1" applyProtection="1">
      <alignment horizontal="center" vertical="center" wrapText="1"/>
    </xf>
    <xf numFmtId="0" fontId="68" fillId="42" borderId="25" xfId="0" applyNumberFormat="1" applyFont="1" applyFill="1" applyBorder="1" applyAlignment="1" applyProtection="1">
      <alignment horizontal="left" vertical="center" wrapText="1"/>
    </xf>
    <xf numFmtId="0" fontId="68" fillId="42" borderId="95" xfId="0" applyNumberFormat="1" applyFont="1" applyFill="1" applyBorder="1" applyAlignment="1" applyProtection="1">
      <alignment horizontal="left" vertical="center" wrapText="1"/>
    </xf>
    <xf numFmtId="0" fontId="68" fillId="42" borderId="33" xfId="0" applyNumberFormat="1" applyFont="1" applyFill="1" applyBorder="1" applyAlignment="1" applyProtection="1">
      <alignment horizontal="left" vertical="center" wrapText="1"/>
    </xf>
    <xf numFmtId="2" fontId="19" fillId="0" borderId="12" xfId="0" applyNumberFormat="1" applyFont="1" applyFill="1" applyBorder="1" applyAlignment="1" applyProtection="1">
      <alignment horizontal="center" vertical="center" wrapText="1"/>
    </xf>
    <xf numFmtId="2" fontId="19" fillId="0" borderId="0" xfId="0" applyNumberFormat="1" applyFont="1" applyFill="1" applyBorder="1" applyAlignment="1" applyProtection="1">
      <alignment horizontal="center" vertical="center" wrapText="1"/>
    </xf>
    <xf numFmtId="2" fontId="19" fillId="0" borderId="13"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0" fontId="19" fillId="0" borderId="32" xfId="0" applyNumberFormat="1" applyFont="1" applyFill="1" applyBorder="1" applyAlignment="1" applyProtection="1">
      <alignment horizontal="center" vertical="center" wrapText="1"/>
    </xf>
    <xf numFmtId="0" fontId="19" fillId="0" borderId="17" xfId="0" applyNumberFormat="1" applyFont="1" applyFill="1" applyBorder="1" applyAlignment="1" applyProtection="1">
      <alignment horizontal="center" vertical="center" wrapText="1"/>
    </xf>
    <xf numFmtId="0" fontId="19" fillId="0" borderId="31" xfId="0" applyNumberFormat="1" applyFont="1" applyFill="1" applyBorder="1" applyAlignment="1" applyProtection="1">
      <alignment horizontal="center" vertical="center" wrapText="1"/>
    </xf>
    <xf numFmtId="2" fontId="19" fillId="0" borderId="9" xfId="0" applyNumberFormat="1" applyFont="1" applyFill="1" applyBorder="1" applyAlignment="1" applyProtection="1">
      <alignment horizontal="center" vertical="center" wrapText="1"/>
    </xf>
    <xf numFmtId="2" fontId="19" fillId="0" borderId="59" xfId="0" applyNumberFormat="1" applyFont="1" applyFill="1" applyBorder="1" applyAlignment="1" applyProtection="1">
      <alignment horizontal="center" vertical="center" wrapText="1"/>
    </xf>
    <xf numFmtId="2" fontId="19" fillId="0" borderId="8" xfId="0" applyNumberFormat="1" applyFont="1" applyFill="1" applyBorder="1" applyAlignment="1" applyProtection="1">
      <alignment horizontal="center" vertical="center" wrapText="1"/>
    </xf>
    <xf numFmtId="0" fontId="19" fillId="0" borderId="9" xfId="0" applyNumberFormat="1" applyFont="1" applyFill="1" applyBorder="1" applyAlignment="1" applyProtection="1">
      <alignment horizontal="center" vertical="center" wrapText="1"/>
    </xf>
    <xf numFmtId="0" fontId="19" fillId="0" borderId="59"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xf>
    <xf numFmtId="167" fontId="68" fillId="42" borderId="94" xfId="0" applyNumberFormat="1" applyFont="1" applyFill="1" applyBorder="1" applyAlignment="1" applyProtection="1">
      <alignment horizontal="right" vertical="center" wrapText="1"/>
    </xf>
    <xf numFmtId="167" fontId="68" fillId="42" borderId="95" xfId="0" applyNumberFormat="1" applyFont="1" applyFill="1" applyBorder="1" applyAlignment="1" applyProtection="1">
      <alignment horizontal="right" vertical="center" wrapText="1"/>
    </xf>
    <xf numFmtId="167" fontId="68" fillId="42" borderId="10"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center" vertical="center" wrapText="1"/>
    </xf>
    <xf numFmtId="0" fontId="68" fillId="42" borderId="42" xfId="0"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right" vertical="center" wrapText="1"/>
    </xf>
    <xf numFmtId="0" fontId="68" fillId="42" borderId="57" xfId="0" applyNumberFormat="1" applyFont="1" applyFill="1" applyBorder="1" applyAlignment="1" applyProtection="1">
      <alignment horizontal="right" vertical="center" wrapText="1"/>
    </xf>
    <xf numFmtId="0" fontId="68" fillId="42" borderId="42" xfId="0" applyNumberFormat="1" applyFont="1" applyFill="1" applyBorder="1" applyAlignment="1" applyProtection="1">
      <alignment horizontal="right" vertical="center" wrapText="1"/>
    </xf>
    <xf numFmtId="0" fontId="68" fillId="42" borderId="25" xfId="0" applyNumberFormat="1" applyFont="1" applyFill="1" applyBorder="1" applyAlignment="1" applyProtection="1">
      <alignment horizontal="center" vertical="center" wrapText="1"/>
    </xf>
    <xf numFmtId="0" fontId="19" fillId="0" borderId="29" xfId="0" applyNumberFormat="1" applyFont="1" applyFill="1" applyBorder="1" applyAlignment="1" applyProtection="1">
      <alignment horizontal="center" vertical="center" wrapText="1"/>
    </xf>
    <xf numFmtId="0" fontId="19" fillId="0" borderId="101"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xf>
    <xf numFmtId="0" fontId="19" fillId="0" borderId="61" xfId="0" applyNumberFormat="1" applyFont="1" applyFill="1" applyBorder="1" applyAlignment="1" applyProtection="1">
      <alignment horizontal="center" vertical="center" wrapText="1"/>
    </xf>
    <xf numFmtId="0" fontId="19" fillId="0" borderId="4" xfId="0" applyNumberFormat="1" applyFont="1" applyFill="1" applyBorder="1" applyAlignment="1" applyProtection="1">
      <alignment horizontal="center" vertical="center" wrapText="1"/>
    </xf>
    <xf numFmtId="0" fontId="68" fillId="0" borderId="94" xfId="0" applyNumberFormat="1" applyFont="1" applyFill="1" applyBorder="1" applyAlignment="1" applyProtection="1">
      <alignment horizontal="right" vertical="center" wrapText="1"/>
    </xf>
    <xf numFmtId="0" fontId="68" fillId="0" borderId="95"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right" vertical="center" wrapText="1"/>
    </xf>
    <xf numFmtId="0" fontId="19" fillId="0" borderId="62"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13" xfId="0" applyNumberFormat="1" applyFont="1" applyFill="1" applyBorder="1" applyAlignment="1" applyProtection="1">
      <alignment horizontal="center" vertical="center" wrapText="1"/>
    </xf>
    <xf numFmtId="0" fontId="19" fillId="42" borderId="73" xfId="0" applyNumberFormat="1" applyFont="1" applyFill="1" applyBorder="1" applyAlignment="1" applyProtection="1">
      <alignment horizontal="center" vertical="center" wrapText="1"/>
    </xf>
    <xf numFmtId="167" fontId="68" fillId="42" borderId="40" xfId="0" applyNumberFormat="1" applyFont="1" applyFill="1" applyBorder="1" applyAlignment="1" applyProtection="1">
      <alignment horizontal="center" vertical="center" wrapText="1"/>
    </xf>
    <xf numFmtId="167" fontId="68" fillId="42" borderId="57" xfId="0" applyNumberFormat="1" applyFont="1" applyFill="1" applyBorder="1" applyAlignment="1" applyProtection="1">
      <alignment horizontal="center" vertical="center" wrapText="1"/>
    </xf>
    <xf numFmtId="167" fontId="68" fillId="42" borderId="58" xfId="0" applyNumberFormat="1" applyFont="1" applyFill="1" applyBorder="1" applyAlignment="1" applyProtection="1">
      <alignment horizontal="center" vertical="center" wrapText="1"/>
    </xf>
    <xf numFmtId="0" fontId="19" fillId="0" borderId="73" xfId="0" applyNumberFormat="1" applyFont="1" applyFill="1" applyBorder="1" applyAlignment="1" applyProtection="1">
      <alignment horizontal="center" vertical="center" wrapText="1"/>
    </xf>
    <xf numFmtId="0" fontId="19" fillId="0" borderId="42" xfId="0" applyNumberFormat="1" applyFont="1" applyFill="1" applyBorder="1" applyAlignment="1" applyProtection="1">
      <alignment horizontal="center" vertical="center" wrapText="1"/>
    </xf>
    <xf numFmtId="167" fontId="19" fillId="0" borderId="40" xfId="0" applyNumberFormat="1" applyFont="1" applyFill="1" applyBorder="1" applyAlignment="1" applyProtection="1">
      <alignment horizontal="center" vertical="center" wrapText="1"/>
    </xf>
    <xf numFmtId="167" fontId="19" fillId="0" borderId="42" xfId="0" applyNumberFormat="1" applyFont="1" applyFill="1" applyBorder="1" applyAlignment="1" applyProtection="1">
      <alignment horizontal="center" vertical="center" wrapText="1"/>
    </xf>
    <xf numFmtId="167" fontId="19" fillId="0" borderId="57" xfId="0" applyNumberFormat="1" applyFont="1" applyFill="1" applyBorder="1" applyAlignment="1" applyProtection="1">
      <alignment horizontal="center" vertical="center" wrapText="1"/>
    </xf>
    <xf numFmtId="167" fontId="19" fillId="0" borderId="58" xfId="0" applyNumberFormat="1" applyFont="1" applyFill="1" applyBorder="1" applyAlignment="1" applyProtection="1">
      <alignment horizontal="center" vertical="center" wrapText="1"/>
    </xf>
    <xf numFmtId="2" fontId="19" fillId="0" borderId="29" xfId="0" applyNumberFormat="1" applyFont="1" applyFill="1" applyBorder="1" applyAlignment="1" applyProtection="1">
      <alignment horizontal="center" vertical="center" wrapText="1"/>
    </xf>
    <xf numFmtId="2" fontId="19" fillId="0" borderId="92" xfId="0" applyNumberFormat="1" applyFont="1" applyFill="1" applyBorder="1" applyAlignment="1" applyProtection="1">
      <alignment horizontal="center" vertical="center" wrapText="1"/>
    </xf>
    <xf numFmtId="2" fontId="19" fillId="0" borderId="93" xfId="0" applyNumberFormat="1" applyFont="1" applyFill="1" applyBorder="1" applyAlignment="1" applyProtection="1">
      <alignment horizontal="center" vertical="center" wrapText="1"/>
    </xf>
    <xf numFmtId="167" fontId="19" fillId="0" borderId="29" xfId="0" quotePrefix="1" applyNumberFormat="1" applyFont="1" applyFill="1" applyBorder="1" applyAlignment="1" applyProtection="1">
      <alignment horizontal="center" vertical="center" wrapText="1"/>
    </xf>
    <xf numFmtId="167" fontId="19" fillId="0" borderId="101" xfId="0" quotePrefix="1" applyNumberFormat="1" applyFont="1" applyFill="1" applyBorder="1" applyAlignment="1" applyProtection="1">
      <alignment horizontal="center" vertical="center" wrapText="1"/>
    </xf>
    <xf numFmtId="167" fontId="19" fillId="0" borderId="99" xfId="0" applyNumberFormat="1" applyFont="1" applyFill="1" applyBorder="1" applyAlignment="1" applyProtection="1">
      <alignment horizontal="center" vertical="center" wrapText="1"/>
    </xf>
    <xf numFmtId="167" fontId="19" fillId="0" borderId="92" xfId="0" applyNumberFormat="1" applyFont="1" applyFill="1" applyBorder="1" applyAlignment="1" applyProtection="1">
      <alignment horizontal="center" vertical="center" wrapText="1"/>
    </xf>
    <xf numFmtId="167" fontId="19" fillId="0" borderId="93" xfId="0" applyNumberFormat="1" applyFont="1" applyFill="1" applyBorder="1" applyAlignment="1" applyProtection="1">
      <alignment horizontal="center" vertical="center" wrapText="1"/>
    </xf>
    <xf numFmtId="167" fontId="19" fillId="0" borderId="50" xfId="0" applyNumberFormat="1" applyFont="1" applyFill="1" applyBorder="1" applyAlignment="1" applyProtection="1">
      <alignment horizontal="center" vertical="center" wrapText="1"/>
    </xf>
    <xf numFmtId="167" fontId="19" fillId="0" borderId="46" xfId="0" applyNumberFormat="1" applyFont="1" applyFill="1" applyBorder="1" applyAlignment="1" applyProtection="1">
      <alignment horizontal="center" vertical="center" wrapText="1"/>
    </xf>
    <xf numFmtId="167" fontId="19" fillId="0" borderId="47" xfId="0" applyNumberFormat="1" applyFont="1" applyFill="1" applyBorder="1" applyAlignment="1" applyProtection="1">
      <alignment horizontal="center" vertical="center" wrapText="1"/>
    </xf>
    <xf numFmtId="167" fontId="68" fillId="42" borderId="73" xfId="0" applyNumberFormat="1" applyFont="1" applyFill="1" applyBorder="1" applyAlignment="1" applyProtection="1">
      <alignment horizontal="center" vertical="center" wrapText="1"/>
    </xf>
    <xf numFmtId="0" fontId="19" fillId="0" borderId="10" xfId="0" applyNumberFormat="1" applyFont="1" applyFill="1" applyBorder="1" applyAlignment="1" applyProtection="1">
      <alignment horizontal="center" vertical="center" wrapText="1"/>
    </xf>
    <xf numFmtId="167" fontId="19" fillId="0" borderId="101"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center" vertical="center" wrapText="1"/>
    </xf>
    <xf numFmtId="167" fontId="19" fillId="0" borderId="95" xfId="0" applyNumberFormat="1" applyFont="1" applyFill="1" applyBorder="1" applyAlignment="1" applyProtection="1">
      <alignment horizontal="center" vertical="center" wrapText="1"/>
    </xf>
    <xf numFmtId="167" fontId="19" fillId="0" borderId="33" xfId="0" applyNumberFormat="1" applyFont="1" applyFill="1" applyBorder="1" applyAlignment="1" applyProtection="1">
      <alignment horizontal="center" vertical="center" wrapText="1"/>
    </xf>
    <xf numFmtId="167" fontId="19" fillId="0" borderId="94" xfId="0" applyNumberFormat="1" applyFont="1" applyFill="1" applyBorder="1" applyAlignment="1" applyProtection="1">
      <alignment horizontal="right" vertical="center" wrapText="1"/>
    </xf>
    <xf numFmtId="167" fontId="19" fillId="0" borderId="33" xfId="0" applyNumberFormat="1" applyFont="1" applyFill="1" applyBorder="1" applyAlignment="1" applyProtection="1">
      <alignment horizontal="right" vertical="center" wrapText="1"/>
    </xf>
    <xf numFmtId="0" fontId="68" fillId="42" borderId="73" xfId="0" applyNumberFormat="1" applyFont="1" applyFill="1" applyBorder="1" applyAlignment="1" applyProtection="1">
      <alignment horizontal="right" vertical="center" wrapText="1"/>
    </xf>
    <xf numFmtId="0" fontId="68" fillId="42" borderId="57"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0" fontId="68" fillId="0" borderId="13" xfId="0" applyNumberFormat="1" applyFont="1" applyFill="1" applyBorder="1" applyAlignment="1" applyProtection="1">
      <alignment horizontal="center" vertical="center" wrapText="1"/>
    </xf>
    <xf numFmtId="0" fontId="19" fillId="0" borderId="99"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xf>
    <xf numFmtId="0" fontId="19" fillId="0" borderId="8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xf>
    <xf numFmtId="0" fontId="68" fillId="0" borderId="101" xfId="0" applyNumberFormat="1" applyFont="1" applyFill="1" applyBorder="1" applyAlignment="1" applyProtection="1">
      <alignment horizontal="center" vertical="center" wrapText="1"/>
    </xf>
    <xf numFmtId="0" fontId="68" fillId="0" borderId="61"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xf>
    <xf numFmtId="167" fontId="19" fillId="0" borderId="25" xfId="0" applyNumberFormat="1" applyFont="1" applyFill="1" applyBorder="1" applyAlignment="1" applyProtection="1">
      <alignment horizontal="center" vertical="center" wrapText="1"/>
    </xf>
    <xf numFmtId="0" fontId="68" fillId="43" borderId="29" xfId="0" applyNumberFormat="1" applyFont="1" applyFill="1" applyBorder="1" applyAlignment="1" applyProtection="1">
      <alignment horizontal="center" vertical="center" wrapText="1"/>
    </xf>
    <xf numFmtId="0" fontId="68" fillId="43" borderId="101" xfId="0" applyNumberFormat="1" applyFont="1" applyFill="1" applyBorder="1" applyAlignment="1" applyProtection="1">
      <alignment horizontal="center" vertical="center" wrapText="1"/>
    </xf>
    <xf numFmtId="0" fontId="68" fillId="43" borderId="12" xfId="0" applyNumberFormat="1" applyFont="1" applyFill="1" applyBorder="1" applyAlignment="1" applyProtection="1">
      <alignment horizontal="center" vertical="center" wrapText="1"/>
    </xf>
    <xf numFmtId="0" fontId="68" fillId="43" borderId="61" xfId="0" applyNumberFormat="1" applyFont="1" applyFill="1" applyBorder="1" applyAlignment="1" applyProtection="1">
      <alignment horizontal="center" vertical="center" wrapText="1"/>
    </xf>
    <xf numFmtId="0" fontId="68" fillId="43" borderId="79" xfId="0" applyNumberFormat="1" applyFont="1" applyFill="1" applyBorder="1" applyAlignment="1" applyProtection="1">
      <alignment horizontal="center" vertical="center" wrapText="1"/>
    </xf>
    <xf numFmtId="0" fontId="68" fillId="43" borderId="4" xfId="0" applyNumberFormat="1" applyFont="1" applyFill="1" applyBorder="1" applyAlignment="1" applyProtection="1">
      <alignment horizontal="center" vertical="center" wrapText="1"/>
    </xf>
    <xf numFmtId="0" fontId="68" fillId="43" borderId="94" xfId="0" applyNumberFormat="1" applyFont="1" applyFill="1" applyBorder="1" applyAlignment="1" applyProtection="1">
      <alignment horizontal="right" vertical="center" wrapText="1"/>
    </xf>
    <xf numFmtId="0" fontId="68" fillId="43" borderId="95" xfId="0" applyNumberFormat="1" applyFont="1" applyFill="1" applyBorder="1" applyAlignment="1" applyProtection="1">
      <alignment horizontal="right" vertical="center" wrapText="1"/>
    </xf>
    <xf numFmtId="0" fontId="68" fillId="43" borderId="10" xfId="0" applyNumberFormat="1" applyFont="1" applyFill="1" applyBorder="1" applyAlignment="1" applyProtection="1">
      <alignment horizontal="right" vertical="center" wrapText="1"/>
    </xf>
    <xf numFmtId="167" fontId="19" fillId="43" borderId="25" xfId="0" applyNumberFormat="1" applyFont="1" applyFill="1" applyBorder="1" applyAlignment="1" applyProtection="1">
      <alignment horizontal="center" vertical="center" wrapText="1"/>
    </xf>
    <xf numFmtId="167" fontId="19" fillId="43" borderId="95" xfId="0" applyNumberFormat="1" applyFont="1" applyFill="1" applyBorder="1" applyAlignment="1" applyProtection="1">
      <alignment horizontal="center" vertical="center" wrapText="1"/>
    </xf>
    <xf numFmtId="167" fontId="19" fillId="43" borderId="33" xfId="0" applyNumberFormat="1" applyFont="1" applyFill="1" applyBorder="1" applyAlignment="1" applyProtection="1">
      <alignment horizontal="center" vertical="center" wrapText="1"/>
    </xf>
    <xf numFmtId="167" fontId="68" fillId="42" borderId="73" xfId="0" applyNumberFormat="1" applyFont="1" applyFill="1" applyBorder="1" applyAlignment="1" applyProtection="1">
      <alignment horizontal="right" vertical="center" wrapText="1"/>
    </xf>
    <xf numFmtId="167" fontId="68" fillId="42" borderId="57" xfId="0" applyNumberFormat="1" applyFont="1" applyFill="1" applyBorder="1" applyAlignment="1" applyProtection="1">
      <alignment horizontal="right" vertical="center" wrapText="1"/>
    </xf>
    <xf numFmtId="167" fontId="68" fillId="42" borderId="42" xfId="0" applyNumberFormat="1" applyFont="1" applyFill="1" applyBorder="1" applyAlignment="1" applyProtection="1">
      <alignment horizontal="right" vertical="center" wrapText="1"/>
    </xf>
    <xf numFmtId="0" fontId="68" fillId="0" borderId="54" xfId="0" applyNumberFormat="1" applyFont="1" applyFill="1" applyBorder="1" applyAlignment="1" applyProtection="1">
      <alignment horizontal="center" vertical="center" wrapText="1"/>
    </xf>
    <xf numFmtId="0" fontId="68" fillId="0" borderId="43" xfId="0" applyNumberFormat="1" applyFont="1" applyFill="1" applyBorder="1" applyAlignment="1" applyProtection="1">
      <alignment horizontal="center" vertical="center" wrapText="1"/>
    </xf>
    <xf numFmtId="0" fontId="68" fillId="0" borderId="55" xfId="0" applyNumberFormat="1" applyFont="1" applyFill="1" applyBorder="1" applyAlignment="1" applyProtection="1">
      <alignment horizontal="center" vertical="center" wrapText="1"/>
    </xf>
    <xf numFmtId="0" fontId="92" fillId="35" borderId="43" xfId="0" applyNumberFormat="1" applyFont="1" applyFill="1" applyBorder="1" applyAlignment="1" applyProtection="1">
      <alignment horizontal="left" vertical="center"/>
    </xf>
    <xf numFmtId="0" fontId="92" fillId="35" borderId="55" xfId="0" applyNumberFormat="1" applyFont="1" applyFill="1" applyBorder="1" applyAlignment="1" applyProtection="1">
      <alignment horizontal="left" vertical="center"/>
    </xf>
    <xf numFmtId="0" fontId="19" fillId="43" borderId="79" xfId="0" applyNumberFormat="1" applyFont="1" applyFill="1" applyBorder="1" applyAlignment="1" applyProtection="1">
      <alignment horizontal="center" vertical="center" wrapText="1"/>
    </xf>
    <xf numFmtId="0" fontId="19" fillId="43" borderId="5" xfId="0" applyNumberFormat="1" applyFont="1" applyFill="1" applyBorder="1" applyAlignment="1" applyProtection="1">
      <alignment horizontal="center" vertical="center" wrapText="1"/>
    </xf>
    <xf numFmtId="0" fontId="19" fillId="43" borderId="80" xfId="0" applyNumberFormat="1" applyFont="1" applyFill="1" applyBorder="1" applyAlignment="1" applyProtection="1">
      <alignment horizontal="center" vertical="center" wrapText="1"/>
    </xf>
    <xf numFmtId="2" fontId="19" fillId="43" borderId="29" xfId="0" applyNumberFormat="1" applyFont="1" applyFill="1" applyBorder="1" applyAlignment="1" applyProtection="1">
      <alignment horizontal="center" vertical="center" wrapText="1"/>
    </xf>
    <xf numFmtId="2" fontId="19" fillId="43" borderId="92" xfId="0" applyNumberFormat="1" applyFont="1" applyFill="1" applyBorder="1" applyAlignment="1" applyProtection="1">
      <alignment horizontal="center" vertical="center" wrapText="1"/>
    </xf>
    <xf numFmtId="2" fontId="19" fillId="43" borderId="93" xfId="0" applyNumberFormat="1" applyFont="1" applyFill="1" applyBorder="1" applyAlignment="1" applyProtection="1">
      <alignment horizontal="center" vertical="center" wrapText="1"/>
    </xf>
    <xf numFmtId="167" fontId="19" fillId="0" borderId="25" xfId="0" quotePrefix="1" applyNumberFormat="1" applyFont="1" applyFill="1" applyBorder="1" applyAlignment="1" applyProtection="1">
      <alignment horizontal="center" vertical="center" wrapText="1"/>
    </xf>
    <xf numFmtId="167" fontId="19" fillId="0" borderId="99" xfId="0" quotePrefix="1" applyNumberFormat="1" applyFont="1" applyFill="1" applyBorder="1" applyAlignment="1" applyProtection="1">
      <alignment horizontal="center" vertical="center" wrapText="1"/>
    </xf>
    <xf numFmtId="167" fontId="19" fillId="0" borderId="93" xfId="0" quotePrefix="1" applyNumberFormat="1" applyFont="1" applyFill="1" applyBorder="1" applyAlignment="1" applyProtection="1">
      <alignment horizontal="center" vertical="center" wrapText="1"/>
    </xf>
    <xf numFmtId="167" fontId="19" fillId="0" borderId="50" xfId="0" quotePrefix="1" applyNumberFormat="1" applyFont="1" applyFill="1" applyBorder="1" applyAlignment="1" applyProtection="1">
      <alignment horizontal="center" vertical="center" wrapText="1"/>
    </xf>
    <xf numFmtId="167" fontId="19" fillId="0" borderId="46" xfId="0" quotePrefix="1" applyNumberFormat="1" applyFont="1" applyFill="1" applyBorder="1" applyAlignment="1" applyProtection="1">
      <alignment horizontal="center" vertical="center" wrapText="1"/>
    </xf>
    <xf numFmtId="167" fontId="19" fillId="0" borderId="47" xfId="0" quotePrefix="1" applyNumberFormat="1" applyFont="1" applyFill="1" applyBorder="1" applyAlignment="1" applyProtection="1">
      <alignment horizontal="center" vertical="center" wrapText="1"/>
    </xf>
    <xf numFmtId="167" fontId="19" fillId="0" borderId="95" xfId="0" quotePrefix="1" applyNumberFormat="1" applyFont="1" applyFill="1" applyBorder="1" applyAlignment="1" applyProtection="1">
      <alignment horizontal="center" vertical="center" wrapText="1"/>
    </xf>
    <xf numFmtId="167" fontId="19" fillId="0" borderId="33" xfId="0" quotePrefix="1" applyNumberFormat="1" applyFont="1" applyFill="1" applyBorder="1" applyAlignment="1" applyProtection="1">
      <alignment horizontal="center" vertical="center" wrapText="1"/>
    </xf>
    <xf numFmtId="0" fontId="68" fillId="42" borderId="40" xfId="0" applyNumberFormat="1" applyFont="1" applyFill="1" applyBorder="1" applyAlignment="1" applyProtection="1">
      <alignment horizontal="center" vertical="center" wrapText="1"/>
    </xf>
    <xf numFmtId="0" fontId="68" fillId="42" borderId="58" xfId="0" applyNumberFormat="1" applyFont="1" applyFill="1" applyBorder="1" applyAlignment="1" applyProtection="1">
      <alignment horizontal="center" vertical="center" wrapText="1"/>
    </xf>
    <xf numFmtId="167" fontId="19" fillId="0" borderId="10" xfId="0" applyNumberFormat="1" applyFont="1" applyFill="1" applyBorder="1" applyAlignment="1" applyProtection="1">
      <alignment horizontal="center" vertical="center" wrapText="1"/>
    </xf>
    <xf numFmtId="167" fontId="68" fillId="0" borderId="94" xfId="0" applyNumberFormat="1" applyFont="1" applyFill="1" applyBorder="1" applyAlignment="1" applyProtection="1">
      <alignment horizontal="center" vertical="center" wrapText="1"/>
    </xf>
    <xf numFmtId="167" fontId="68" fillId="0" borderId="33" xfId="0" applyNumberFormat="1" applyFont="1" applyFill="1" applyBorder="1" applyAlignment="1" applyProtection="1">
      <alignment horizontal="center" vertical="center" wrapText="1"/>
    </xf>
    <xf numFmtId="167" fontId="19" fillId="0" borderId="12" xfId="0" quotePrefix="1" applyNumberFormat="1" applyFont="1" applyFill="1" applyBorder="1" applyAlignment="1" applyProtection="1">
      <alignment horizontal="center" vertical="center" wrapText="1"/>
    </xf>
    <xf numFmtId="167" fontId="19" fillId="0" borderId="61" xfId="0" quotePrefix="1" applyNumberFormat="1" applyFont="1" applyFill="1" applyBorder="1" applyAlignment="1" applyProtection="1">
      <alignment horizontal="center" vertical="center" wrapText="1"/>
    </xf>
    <xf numFmtId="167" fontId="19" fillId="0" borderId="79" xfId="0" quotePrefix="1" applyNumberFormat="1" applyFont="1" applyFill="1" applyBorder="1" applyAlignment="1" applyProtection="1">
      <alignment horizontal="center" vertical="center" wrapText="1"/>
    </xf>
    <xf numFmtId="167" fontId="19" fillId="0" borderId="4" xfId="0" quotePrefix="1" applyNumberFormat="1" applyFont="1" applyFill="1" applyBorder="1" applyAlignment="1" applyProtection="1">
      <alignment horizontal="center" vertical="center" wrapText="1"/>
    </xf>
    <xf numFmtId="167" fontId="19" fillId="0" borderId="9" xfId="0" quotePrefix="1" applyNumberFormat="1" applyFont="1" applyFill="1" applyBorder="1" applyAlignment="1" applyProtection="1">
      <alignment horizontal="center" vertical="center" wrapText="1"/>
    </xf>
    <xf numFmtId="167" fontId="19" fillId="0" borderId="59" xfId="0" quotePrefix="1" applyNumberFormat="1" applyFont="1" applyFill="1" applyBorder="1" applyAlignment="1" applyProtection="1">
      <alignment horizontal="center" vertical="center" wrapText="1"/>
    </xf>
    <xf numFmtId="167" fontId="19" fillId="0" borderId="8" xfId="0" quotePrefix="1" applyNumberFormat="1" applyFont="1" applyFill="1" applyBorder="1" applyAlignment="1" applyProtection="1">
      <alignment horizontal="center" vertical="center" wrapText="1"/>
    </xf>
    <xf numFmtId="167" fontId="19" fillId="0" borderId="9" xfId="0" applyNumberFormat="1" applyFont="1" applyFill="1" applyBorder="1" applyAlignment="1" applyProtection="1">
      <alignment horizontal="center" vertical="center" wrapText="1"/>
    </xf>
    <xf numFmtId="167" fontId="19" fillId="0" borderId="59" xfId="0" applyNumberFormat="1" applyFont="1" applyFill="1" applyBorder="1" applyAlignment="1" applyProtection="1">
      <alignment horizontal="center" vertical="center" wrapText="1"/>
    </xf>
    <xf numFmtId="167" fontId="19" fillId="0" borderId="8" xfId="0" applyNumberFormat="1" applyFont="1" applyFill="1" applyBorder="1" applyAlignment="1" applyProtection="1">
      <alignment horizontal="center" vertical="center" wrapText="1"/>
    </xf>
    <xf numFmtId="167" fontId="19" fillId="0" borderId="62" xfId="0" applyNumberFormat="1" applyFont="1" applyFill="1" applyBorder="1" applyAlignment="1" applyProtection="1">
      <alignment horizontal="center" vertical="center" wrapText="1"/>
    </xf>
    <xf numFmtId="167" fontId="19" fillId="0" borderId="13" xfId="0" applyNumberFormat="1" applyFont="1" applyFill="1" applyBorder="1" applyAlignment="1" applyProtection="1">
      <alignment horizontal="center" vertical="center" wrapText="1"/>
    </xf>
    <xf numFmtId="167" fontId="19" fillId="0" borderId="81" xfId="0" applyNumberFormat="1" applyFont="1" applyFill="1" applyBorder="1" applyAlignment="1" applyProtection="1">
      <alignment horizontal="center" vertical="center" wrapText="1"/>
    </xf>
    <xf numFmtId="167" fontId="19" fillId="0" borderId="80" xfId="0" applyNumberFormat="1" applyFont="1" applyFill="1" applyBorder="1" applyAlignment="1" applyProtection="1">
      <alignment horizontal="center" vertical="center" wrapText="1"/>
    </xf>
    <xf numFmtId="0" fontId="92" fillId="0" borderId="99" xfId="0" applyNumberFormat="1" applyFont="1" applyFill="1" applyBorder="1" applyAlignment="1" applyProtection="1">
      <alignment horizontal="center" vertical="center" wrapText="1"/>
    </xf>
    <xf numFmtId="0" fontId="92" fillId="0" borderId="93" xfId="0" applyNumberFormat="1" applyFont="1" applyFill="1" applyBorder="1" applyAlignment="1" applyProtection="1">
      <alignment horizontal="center" vertical="center" wrapText="1"/>
    </xf>
    <xf numFmtId="0" fontId="92" fillId="0" borderId="62" xfId="0" applyNumberFormat="1" applyFont="1" applyFill="1" applyBorder="1" applyAlignment="1" applyProtection="1">
      <alignment horizontal="center" vertical="center" wrapText="1"/>
    </xf>
    <xf numFmtId="0" fontId="92" fillId="0" borderId="13" xfId="0" applyNumberFormat="1" applyFont="1" applyFill="1" applyBorder="1" applyAlignment="1" applyProtection="1">
      <alignment horizontal="center" vertical="center" wrapText="1"/>
    </xf>
    <xf numFmtId="0" fontId="92" fillId="0" borderId="50" xfId="0" applyNumberFormat="1" applyFont="1" applyFill="1" applyBorder="1" applyAlignment="1" applyProtection="1">
      <alignment horizontal="center" vertical="center" wrapText="1"/>
    </xf>
    <xf numFmtId="0" fontId="92" fillId="0" borderId="47" xfId="0" applyNumberFormat="1" applyFont="1" applyFill="1" applyBorder="1" applyAlignment="1" applyProtection="1">
      <alignment horizontal="center" vertical="center" wrapText="1"/>
    </xf>
    <xf numFmtId="167" fontId="68" fillId="42" borderId="29" xfId="0" applyNumberFormat="1" applyFont="1" applyFill="1" applyBorder="1" applyAlignment="1" applyProtection="1">
      <alignment horizontal="center" vertical="center" wrapText="1"/>
    </xf>
    <xf numFmtId="167" fontId="68" fillId="42" borderId="92" xfId="0" applyNumberFormat="1" applyFont="1" applyFill="1" applyBorder="1" applyAlignment="1" applyProtection="1">
      <alignment horizontal="center" vertical="center" wrapText="1"/>
    </xf>
    <xf numFmtId="167" fontId="68" fillId="42" borderId="101" xfId="0" applyNumberFormat="1" applyFont="1" applyFill="1" applyBorder="1" applyAlignment="1" applyProtection="1">
      <alignment horizontal="center" vertical="center" wrapText="1"/>
    </xf>
    <xf numFmtId="167" fontId="68" fillId="42" borderId="42" xfId="0" applyNumberFormat="1" applyFont="1" applyFill="1" applyBorder="1" applyAlignment="1" applyProtection="1">
      <alignment horizontal="center" vertical="center" wrapText="1"/>
    </xf>
    <xf numFmtId="167" fontId="19" fillId="0" borderId="0" xfId="0" applyNumberFormat="1" applyFont="1" applyFill="1" applyBorder="1" applyAlignment="1" applyProtection="1">
      <alignment horizontal="center" vertical="center" wrapText="1"/>
    </xf>
    <xf numFmtId="0" fontId="93" fillId="42" borderId="25" xfId="0" applyNumberFormat="1" applyFont="1" applyFill="1" applyBorder="1" applyAlignment="1" applyProtection="1">
      <alignment horizontal="center" vertical="center" wrapText="1"/>
    </xf>
    <xf numFmtId="0" fontId="93" fillId="42" borderId="95" xfId="0" applyNumberFormat="1" applyFont="1" applyFill="1" applyBorder="1" applyAlignment="1" applyProtection="1">
      <alignment horizontal="center" vertical="center" wrapText="1"/>
    </xf>
    <xf numFmtId="0" fontId="93" fillId="42" borderId="33" xfId="0" applyNumberFormat="1" applyFont="1" applyFill="1" applyBorder="1" applyAlignment="1" applyProtection="1">
      <alignment horizontal="center" vertical="center" wrapText="1"/>
    </xf>
    <xf numFmtId="0" fontId="94" fillId="42" borderId="94" xfId="0" applyNumberFormat="1" applyFont="1" applyFill="1" applyBorder="1" applyAlignment="1" applyProtection="1">
      <alignment horizontal="center" vertical="center"/>
    </xf>
    <xf numFmtId="0" fontId="94" fillId="42" borderId="95" xfId="0" applyNumberFormat="1" applyFont="1" applyFill="1" applyBorder="1" applyAlignment="1" applyProtection="1">
      <alignment horizontal="center" vertical="center"/>
    </xf>
    <xf numFmtId="0" fontId="94" fillId="42" borderId="33" xfId="0" applyNumberFormat="1" applyFont="1" applyFill="1" applyBorder="1" applyAlignment="1" applyProtection="1">
      <alignment horizontal="center" vertical="center"/>
    </xf>
    <xf numFmtId="0" fontId="19" fillId="0" borderId="99"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xf>
    <xf numFmtId="0" fontId="19" fillId="0" borderId="93" xfId="0" applyNumberFormat="1" applyFont="1" applyFill="1" applyBorder="1" applyAlignment="1" applyProtection="1">
      <alignment horizontal="center" vertical="center"/>
    </xf>
    <xf numFmtId="0" fontId="19" fillId="0" borderId="62" xfId="0" applyNumberFormat="1" applyFont="1" applyFill="1" applyBorder="1" applyAlignment="1" applyProtection="1">
      <alignment horizontal="center" vertical="center"/>
    </xf>
    <xf numFmtId="0" fontId="19" fillId="0" borderId="13" xfId="0" applyNumberFormat="1" applyFont="1" applyFill="1" applyBorder="1" applyAlignment="1" applyProtection="1">
      <alignment horizontal="center" vertical="center"/>
    </xf>
    <xf numFmtId="0" fontId="19" fillId="0" borderId="81"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center" vertical="center"/>
    </xf>
    <xf numFmtId="0" fontId="19" fillId="0" borderId="80" xfId="0" applyNumberFormat="1" applyFont="1" applyFill="1" applyBorder="1" applyAlignment="1" applyProtection="1">
      <alignment horizontal="center" vertical="center"/>
    </xf>
    <xf numFmtId="0" fontId="68" fillId="42" borderId="94" xfId="0" applyNumberFormat="1" applyFont="1" applyFill="1" applyBorder="1" applyAlignment="1" applyProtection="1">
      <alignment horizontal="center" vertical="center"/>
    </xf>
    <xf numFmtId="0" fontId="19" fillId="0" borderId="95" xfId="0" applyNumberFormat="1" applyFont="1" applyFill="1" applyBorder="1" applyAlignment="1" applyProtection="1">
      <alignment horizontal="center" vertical="center"/>
    </xf>
    <xf numFmtId="0" fontId="19" fillId="0" borderId="33" xfId="0" applyNumberFormat="1" applyFont="1" applyFill="1" applyBorder="1" applyAlignment="1" applyProtection="1">
      <alignment horizontal="center" vertical="center"/>
    </xf>
    <xf numFmtId="167" fontId="68" fillId="42" borderId="94" xfId="0" applyNumberFormat="1" applyFont="1" applyFill="1" applyBorder="1" applyAlignment="1" applyProtection="1">
      <alignment horizontal="center" vertical="center" wrapText="1"/>
    </xf>
    <xf numFmtId="167" fontId="68" fillId="42" borderId="95" xfId="0" applyNumberFormat="1" applyFont="1" applyFill="1" applyBorder="1" applyAlignment="1" applyProtection="1">
      <alignment horizontal="center" vertical="center" wrapText="1"/>
    </xf>
    <xf numFmtId="167" fontId="68" fillId="42" borderId="33" xfId="0" applyNumberFormat="1" applyFont="1" applyFill="1" applyBorder="1" applyAlignment="1" applyProtection="1">
      <alignment horizontal="center" vertical="center" wrapText="1"/>
    </xf>
    <xf numFmtId="2" fontId="93" fillId="0" borderId="25" xfId="0" applyNumberFormat="1" applyFont="1" applyFill="1" applyBorder="1" applyAlignment="1" applyProtection="1">
      <alignment horizontal="center" vertical="center" wrapText="1"/>
    </xf>
    <xf numFmtId="2" fontId="93" fillId="0" borderId="95" xfId="0" applyNumberFormat="1" applyFont="1" applyFill="1" applyBorder="1" applyAlignment="1" applyProtection="1">
      <alignment horizontal="center" vertical="center" wrapText="1"/>
    </xf>
    <xf numFmtId="2" fontId="93" fillId="0" borderId="33"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xf>
    <xf numFmtId="0" fontId="68" fillId="0" borderId="94" xfId="0" applyNumberFormat="1" applyFont="1" applyFill="1" applyBorder="1" applyAlignment="1" applyProtection="1">
      <alignment horizontal="center" vertical="center" wrapText="1"/>
    </xf>
    <xf numFmtId="0" fontId="68" fillId="0" borderId="95" xfId="0" applyNumberFormat="1" applyFont="1" applyFill="1" applyBorder="1" applyAlignment="1" applyProtection="1">
      <alignment horizontal="center" vertical="center" wrapText="1"/>
    </xf>
    <xf numFmtId="0" fontId="68" fillId="0" borderId="33" xfId="0" applyNumberFormat="1" applyFont="1" applyFill="1" applyBorder="1" applyAlignment="1" applyProtection="1">
      <alignment horizontal="center" vertical="center" wrapText="1"/>
    </xf>
    <xf numFmtId="0" fontId="68" fillId="42" borderId="99" xfId="0" applyNumberFormat="1" applyFont="1" applyFill="1" applyBorder="1" applyAlignment="1" applyProtection="1">
      <alignment horizontal="center" vertical="center"/>
    </xf>
    <xf numFmtId="0" fontId="68" fillId="42" borderId="93" xfId="0" applyNumberFormat="1" applyFont="1" applyFill="1" applyBorder="1" applyAlignment="1" applyProtection="1">
      <alignment horizontal="center" vertical="center"/>
    </xf>
    <xf numFmtId="0" fontId="68" fillId="0" borderId="62" xfId="0" applyNumberFormat="1" applyFont="1" applyFill="1" applyBorder="1" applyAlignment="1" applyProtection="1">
      <alignment horizontal="center" vertical="center"/>
    </xf>
    <xf numFmtId="2" fontId="68" fillId="42" borderId="57" xfId="0" applyNumberFormat="1" applyFont="1" applyFill="1" applyBorder="1" applyAlignment="1" applyProtection="1">
      <alignment horizontal="center" vertical="center" wrapText="1"/>
    </xf>
    <xf numFmtId="2" fontId="68" fillId="42" borderId="42"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xf>
    <xf numFmtId="0" fontId="36" fillId="0" borderId="53" xfId="0" applyNumberFormat="1" applyFont="1" applyFill="1" applyBorder="1" applyAlignment="1" applyProtection="1">
      <alignment horizontal="center" vertical="center" wrapText="1"/>
    </xf>
    <xf numFmtId="167" fontId="19" fillId="0" borderId="5"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xf>
    <xf numFmtId="0" fontId="68" fillId="0" borderId="58"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xf>
    <xf numFmtId="0" fontId="68" fillId="0" borderId="92" xfId="0" applyNumberFormat="1" applyFont="1" applyFill="1" applyBorder="1" applyAlignment="1" applyProtection="1">
      <alignment horizontal="center" vertical="center"/>
    </xf>
    <xf numFmtId="0" fontId="68" fillId="0" borderId="93" xfId="0" applyNumberFormat="1" applyFont="1" applyFill="1" applyBorder="1" applyAlignment="1" applyProtection="1">
      <alignment horizontal="center" vertical="center"/>
    </xf>
    <xf numFmtId="0" fontId="68" fillId="0" borderId="81" xfId="0" applyNumberFormat="1" applyFont="1" applyFill="1" applyBorder="1" applyAlignment="1" applyProtection="1">
      <alignment horizontal="center" vertical="center"/>
    </xf>
    <xf numFmtId="0" fontId="68" fillId="0" borderId="5" xfId="0" applyNumberFormat="1" applyFont="1" applyFill="1" applyBorder="1" applyAlignment="1" applyProtection="1">
      <alignment horizontal="center" vertical="center"/>
    </xf>
    <xf numFmtId="0" fontId="68" fillId="0" borderId="80" xfId="0" applyNumberFormat="1" applyFont="1" applyFill="1" applyBorder="1" applyAlignment="1" applyProtection="1">
      <alignment horizontal="center" vertical="center"/>
    </xf>
    <xf numFmtId="0" fontId="19" fillId="0" borderId="50" xfId="0" applyNumberFormat="1" applyFont="1" applyFill="1" applyBorder="1" applyAlignment="1" applyProtection="1">
      <alignment horizontal="center" vertical="center"/>
    </xf>
    <xf numFmtId="0" fontId="19" fillId="0" borderId="47" xfId="0" applyNumberFormat="1" applyFont="1" applyFill="1" applyBorder="1" applyAlignment="1" applyProtection="1">
      <alignment horizontal="center" vertical="center"/>
    </xf>
    <xf numFmtId="0" fontId="19" fillId="0" borderId="92" xfId="0" applyNumberFormat="1" applyFont="1" applyFill="1" applyBorder="1" applyAlignment="1" applyProtection="1">
      <alignment horizontal="center" vertical="center" wrapText="1"/>
    </xf>
    <xf numFmtId="167" fontId="81" fillId="0" borderId="25" xfId="0" quotePrefix="1" applyNumberFormat="1" applyFont="1" applyFill="1" applyBorder="1" applyAlignment="1" applyProtection="1">
      <alignment horizontal="center" vertical="center" wrapText="1"/>
    </xf>
    <xf numFmtId="167" fontId="81" fillId="0" borderId="10" xfId="0" quotePrefix="1" applyNumberFormat="1" applyFont="1" applyFill="1" applyBorder="1" applyAlignment="1" applyProtection="1">
      <alignment horizontal="center" vertical="center" wrapText="1"/>
    </xf>
    <xf numFmtId="0" fontId="19" fillId="0" borderId="37" xfId="0" applyFont="1" applyBorder="1" applyAlignment="1">
      <alignment horizontal="left" vertical="top" wrapText="1"/>
    </xf>
    <xf numFmtId="0" fontId="19" fillId="0" borderId="39" xfId="0" applyFont="1" applyBorder="1" applyAlignment="1">
      <alignment horizontal="left" vertical="top" wrapText="1"/>
    </xf>
    <xf numFmtId="0" fontId="27" fillId="5" borderId="54" xfId="0" applyFont="1" applyFill="1" applyBorder="1" applyAlignment="1">
      <alignment horizontal="center"/>
    </xf>
    <xf numFmtId="0" fontId="27" fillId="5" borderId="43" xfId="0" applyFont="1" applyFill="1" applyBorder="1" applyAlignment="1">
      <alignment horizontal="center"/>
    </xf>
    <xf numFmtId="0" fontId="27" fillId="5" borderId="55" xfId="0" applyFont="1" applyFill="1" applyBorder="1" applyAlignment="1">
      <alignment horizontal="center"/>
    </xf>
    <xf numFmtId="0" fontId="22" fillId="5" borderId="26"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28" xfId="0" applyFont="1" applyFill="1" applyBorder="1" applyAlignment="1">
      <alignment horizontal="center" vertical="center"/>
    </xf>
    <xf numFmtId="0" fontId="0" fillId="0" borderId="86" xfId="0" applyFont="1" applyFill="1" applyBorder="1" applyAlignment="1">
      <alignment horizontal="left" vertical="center"/>
    </xf>
    <xf numFmtId="0" fontId="0" fillId="0" borderId="24" xfId="0" applyFont="1" applyFill="1" applyBorder="1" applyAlignment="1">
      <alignment horizontal="left" vertical="center" wrapText="1"/>
    </xf>
    <xf numFmtId="0" fontId="0" fillId="0" borderId="6" xfId="0" applyFont="1" applyFill="1" applyBorder="1" applyAlignment="1">
      <alignment horizontal="left" vertical="center"/>
    </xf>
    <xf numFmtId="176" fontId="0" fillId="0" borderId="16" xfId="0" applyNumberFormat="1" applyFont="1" applyFill="1" applyBorder="1" applyAlignment="1">
      <alignment horizontal="left" vertical="center"/>
    </xf>
    <xf numFmtId="0" fontId="22" fillId="5" borderId="0" xfId="0" applyFont="1" applyFill="1" applyBorder="1" applyAlignment="1">
      <alignment horizontal="center" vertical="center"/>
    </xf>
    <xf numFmtId="0" fontId="22" fillId="5" borderId="36" xfId="0" applyFont="1" applyFill="1" applyBorder="1" applyAlignment="1">
      <alignment horizontal="center" vertical="center" wrapText="1"/>
    </xf>
    <xf numFmtId="0" fontId="22" fillId="5" borderId="39" xfId="0" applyFont="1" applyFill="1" applyBorder="1" applyAlignment="1">
      <alignment horizontal="center" vertical="center" wrapText="1"/>
    </xf>
    <xf numFmtId="0" fontId="22" fillId="3" borderId="31" xfId="0" applyFont="1" applyFill="1" applyBorder="1" applyAlignment="1">
      <alignment vertical="center" wrapText="1"/>
    </xf>
    <xf numFmtId="0" fontId="22" fillId="3" borderId="15" xfId="0" applyFont="1" applyFill="1" applyBorder="1" applyAlignment="1">
      <alignment vertical="center" wrapText="1"/>
    </xf>
    <xf numFmtId="0" fontId="22" fillId="3" borderId="24" xfId="0" applyFont="1" applyFill="1" applyBorder="1" applyAlignment="1">
      <alignment vertical="center" wrapText="1"/>
    </xf>
    <xf numFmtId="0" fontId="22" fillId="3" borderId="16" xfId="0" applyFont="1" applyFill="1" applyBorder="1" applyAlignment="1">
      <alignment vertical="center" wrapText="1"/>
    </xf>
    <xf numFmtId="0" fontId="16" fillId="3" borderId="31" xfId="0" applyFont="1" applyFill="1" applyBorder="1" applyAlignment="1">
      <alignment vertical="center" wrapText="1"/>
    </xf>
    <xf numFmtId="0" fontId="16" fillId="3" borderId="15" xfId="0" applyFont="1" applyFill="1" applyBorder="1" applyAlignment="1">
      <alignment vertical="center" wrapText="1"/>
    </xf>
    <xf numFmtId="0" fontId="58" fillId="0" borderId="36" xfId="0" applyFont="1" applyBorder="1" applyAlignment="1">
      <alignment horizontal="center" vertical="center"/>
    </xf>
    <xf numFmtId="0" fontId="58" fillId="0" borderId="37" xfId="0" applyFont="1" applyBorder="1" applyAlignment="1">
      <alignment horizontal="center" vertical="center"/>
    </xf>
    <xf numFmtId="0" fontId="58" fillId="0" borderId="21" xfId="0" applyFont="1" applyBorder="1" applyAlignment="1">
      <alignment horizontal="left" vertical="center"/>
    </xf>
    <xf numFmtId="0" fontId="58" fillId="0" borderId="22" xfId="0" applyFont="1" applyBorder="1" applyAlignment="1">
      <alignment horizontal="left" vertical="center"/>
    </xf>
    <xf numFmtId="0" fontId="7" fillId="0" borderId="26" xfId="0" applyFont="1" applyBorder="1" applyAlignment="1">
      <alignment horizontal="center" wrapText="1"/>
    </xf>
    <xf numFmtId="0" fontId="7" fillId="0" borderId="34" xfId="0" applyFont="1" applyBorder="1" applyAlignment="1">
      <alignment horizontal="center" wrapText="1"/>
    </xf>
    <xf numFmtId="0" fontId="7" fillId="0" borderId="28" xfId="0" applyFont="1" applyBorder="1" applyAlignment="1">
      <alignment horizontal="center" wrapText="1"/>
    </xf>
    <xf numFmtId="0" fontId="23" fillId="0" borderId="12"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3" xfId="0" applyFont="1" applyBorder="1" applyAlignment="1">
      <alignment horizontal="center" vertical="center" wrapText="1"/>
    </xf>
    <xf numFmtId="0" fontId="25" fillId="0" borderId="12" xfId="0" applyFont="1" applyBorder="1" applyAlignment="1">
      <alignment horizontal="right" vertical="center"/>
    </xf>
    <xf numFmtId="0" fontId="25" fillId="0" borderId="0" xfId="0" applyFont="1" applyBorder="1" applyAlignment="1">
      <alignment horizontal="right" vertical="center"/>
    </xf>
    <xf numFmtId="0" fontId="25" fillId="0" borderId="13" xfId="0" applyFont="1" applyBorder="1" applyAlignment="1">
      <alignment horizontal="right" vertical="center"/>
    </xf>
    <xf numFmtId="0" fontId="56" fillId="0" borderId="26"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28" xfId="0" applyFont="1" applyBorder="1" applyAlignment="1">
      <alignment horizontal="center" vertical="center" wrapText="1"/>
    </xf>
  </cellXfs>
  <cellStyles count="57">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Bad" xfId="30"/>
    <cellStyle name="Calculation" xfId="31"/>
    <cellStyle name="Cálculo 2" xfId="32"/>
    <cellStyle name="Check Cell" xfId="33"/>
    <cellStyle name="Entrada 2" xfId="34"/>
    <cellStyle name="Excel Built-in Normal" xfId="4"/>
    <cellStyle name="Explanatory Text" xfId="35"/>
    <cellStyle name="Good" xfId="36"/>
    <cellStyle name="Heading 1" xfId="37"/>
    <cellStyle name="Heading 2" xfId="38"/>
    <cellStyle name="Heading 3" xfId="39"/>
    <cellStyle name="Heading 4" xfId="40"/>
    <cellStyle name="Hiperlink" xfId="56" builtinId="8"/>
    <cellStyle name="Incorreto 2" xfId="41"/>
    <cellStyle name="Input" xfId="42"/>
    <cellStyle name="Linked Cell" xfId="43"/>
    <cellStyle name="Neutral" xfId="44"/>
    <cellStyle name="Normal" xfId="0" builtinId="0"/>
    <cellStyle name="Normal 2" xfId="3"/>
    <cellStyle name="Normal 4" xfId="55"/>
    <cellStyle name="Normal_Pesquisa no referencial 10 de maio de 2013" xfId="5"/>
    <cellStyle name="Nota 2" xfId="45"/>
    <cellStyle name="Note" xfId="46"/>
    <cellStyle name="Output" xfId="47"/>
    <cellStyle name="Porcentagem" xfId="2" builtinId="5"/>
    <cellStyle name="Saída 2" xfId="48"/>
    <cellStyle name="Texto de Aviso 2" xfId="49"/>
    <cellStyle name="Texto Explicativo 2" xfId="50"/>
    <cellStyle name="Title" xfId="51"/>
    <cellStyle name="Título 2" xfId="52"/>
    <cellStyle name="Total 2" xfId="53"/>
    <cellStyle name="Vírgula" xfId="1" builtinId="3"/>
    <cellStyle name="Warning Text" xfId="54"/>
  </cellStyles>
  <dxfs count="14">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11.png"/><Relationship Id="rId1" Type="http://schemas.openxmlformats.org/officeDocument/2006/relationships/image" Target="../media/image10.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3153834</xdr:colOff>
      <xdr:row>0</xdr:row>
      <xdr:rowOff>232833</xdr:rowOff>
    </xdr:from>
    <xdr:to>
      <xdr:col>1</xdr:col>
      <xdr:colOff>4349750</xdr:colOff>
      <xdr:row>4</xdr:row>
      <xdr:rowOff>222253</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4392084" y="232833"/>
          <a:ext cx="1195916" cy="95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0</xdr:row>
      <xdr:rowOff>161925</xdr:rowOff>
    </xdr:from>
    <xdr:to>
      <xdr:col>0</xdr:col>
      <xdr:colOff>962024</xdr:colOff>
      <xdr:row>3</xdr:row>
      <xdr:rowOff>133350</xdr:rowOff>
    </xdr:to>
    <xdr:pic>
      <xdr:nvPicPr>
        <xdr:cNvPr id="7" name="Imagem 6">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Layer>
              </a14:imgProps>
            </a:ext>
            <a:ext uri="{28A0092B-C50C-407E-A947-70E740481C1C}">
              <a14:useLocalDpi xmlns:a14="http://schemas.microsoft.com/office/drawing/2010/main" val="0"/>
            </a:ext>
          </a:extLst>
        </a:blip>
        <a:stretch>
          <a:fillRect/>
        </a:stretch>
      </xdr:blipFill>
      <xdr:spPr>
        <a:xfrm>
          <a:off x="238125" y="161925"/>
          <a:ext cx="723899" cy="552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800100</xdr:colOff>
      <xdr:row>2</xdr:row>
      <xdr:rowOff>28574</xdr:rowOff>
    </xdr:from>
    <xdr:to>
      <xdr:col>1</xdr:col>
      <xdr:colOff>685800</xdr:colOff>
      <xdr:row>6</xdr:row>
      <xdr:rowOff>57149</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100" y="447674"/>
          <a:ext cx="1104900"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492124</xdr:colOff>
      <xdr:row>0</xdr:row>
      <xdr:rowOff>140757</xdr:rowOff>
    </xdr:from>
    <xdr:to>
      <xdr:col>2</xdr:col>
      <xdr:colOff>772583</xdr:colOff>
      <xdr:row>5</xdr:row>
      <xdr:rowOff>116415</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1592791" y="140757"/>
          <a:ext cx="1338792" cy="110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361950</xdr:colOff>
      <xdr:row>1</xdr:row>
      <xdr:rowOff>9525</xdr:rowOff>
    </xdr:from>
    <xdr:to>
      <xdr:col>1</xdr:col>
      <xdr:colOff>210609</xdr:colOff>
      <xdr:row>5</xdr:row>
      <xdr:rowOff>76201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61950" y="200025"/>
          <a:ext cx="847725" cy="8286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266700</xdr:colOff>
      <xdr:row>5</xdr:row>
      <xdr:rowOff>114301</xdr:rowOff>
    </xdr:to>
    <xdr:pic>
      <xdr:nvPicPr>
        <xdr:cNvPr id="4" name="Imagem 3">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190500</xdr:colOff>
      <xdr:row>5</xdr:row>
      <xdr:rowOff>114301</xdr:rowOff>
    </xdr:to>
    <xdr:pic>
      <xdr:nvPicPr>
        <xdr:cNvPr id="3" name="Imagem 2">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333375</xdr:colOff>
      <xdr:row>1</xdr:row>
      <xdr:rowOff>47625</xdr:rowOff>
    </xdr:from>
    <xdr:to>
      <xdr:col>1</xdr:col>
      <xdr:colOff>152400</xdr:colOff>
      <xdr:row>5</xdr:row>
      <xdr:rowOff>114301</xdr:rowOff>
    </xdr:to>
    <xdr:pic>
      <xdr:nvPicPr>
        <xdr:cNvPr id="2" name="Imagem 1">
          <a:extLst>
            <a:ext uri="{FF2B5EF4-FFF2-40B4-BE49-F238E27FC236}">
              <a16:creationId xmlns:a16="http://schemas.microsoft.com/office/drawing/2014/main" id="{D28AC3E8-8FC1-47E9-B1BF-6D7AAA81DFF2}"/>
            </a:ext>
          </a:extLst>
        </xdr:cNvPr>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tretch>
          <a:fillRect/>
        </a:stretch>
      </xdr:blipFill>
      <xdr:spPr>
        <a:xfrm>
          <a:off x="333375" y="238125"/>
          <a:ext cx="847725" cy="82867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895475" y="1151572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600075</xdr:colOff>
      <xdr:row>94</xdr:row>
      <xdr:rowOff>0</xdr:rowOff>
    </xdr:to>
    <xdr:pic>
      <xdr:nvPicPr>
        <xdr:cNvPr id="3" name="Image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653540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3</xdr:col>
      <xdr:colOff>514350</xdr:colOff>
      <xdr:row>212</xdr:row>
      <xdr:rowOff>171450</xdr:rowOff>
    </xdr:to>
    <xdr:pic>
      <xdr:nvPicPr>
        <xdr:cNvPr id="4" name="Imagem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0101697"/>
          <a:ext cx="4400550" cy="3760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348</xdr:row>
      <xdr:rowOff>19050</xdr:rowOff>
    </xdr:from>
    <xdr:to>
      <xdr:col>1</xdr:col>
      <xdr:colOff>695325</xdr:colOff>
      <xdr:row>359</xdr:row>
      <xdr:rowOff>142875</xdr:rowOff>
    </xdr:to>
    <xdr:pic>
      <xdr:nvPicPr>
        <xdr:cNvPr id="5" name="Imagem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0008750"/>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137</xdr:row>
      <xdr:rowOff>161925</xdr:rowOff>
    </xdr:from>
    <xdr:to>
      <xdr:col>5</xdr:col>
      <xdr:colOff>762000</xdr:colOff>
      <xdr:row>140</xdr:row>
      <xdr:rowOff>133350</xdr:rowOff>
    </xdr:to>
    <xdr:pic>
      <xdr:nvPicPr>
        <xdr:cNvPr id="6" name="Imagem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9525" y="277463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847725</xdr:colOff>
      <xdr:row>1189</xdr:row>
      <xdr:rowOff>180975</xdr:rowOff>
    </xdr:to>
    <xdr:pic>
      <xdr:nvPicPr>
        <xdr:cNvPr id="7"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5850" y="24464962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1183</xdr:row>
      <xdr:rowOff>152400</xdr:rowOff>
    </xdr:from>
    <xdr:to>
      <xdr:col>3</xdr:col>
      <xdr:colOff>1152525</xdr:colOff>
      <xdr:row>1190</xdr:row>
      <xdr:rowOff>76200</xdr:rowOff>
    </xdr:to>
    <xdr:pic>
      <xdr:nvPicPr>
        <xdr:cNvPr id="8" name="Imagem 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895850" y="24464962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1170</xdr:row>
      <xdr:rowOff>57150</xdr:rowOff>
    </xdr:from>
    <xdr:to>
      <xdr:col>3</xdr:col>
      <xdr:colOff>561975</xdr:colOff>
      <xdr:row>1176</xdr:row>
      <xdr:rowOff>85725</xdr:rowOff>
    </xdr:to>
    <xdr:pic>
      <xdr:nvPicPr>
        <xdr:cNvPr id="9" name="Imagem 10" descr="Y:\SUPO\PROJETOS\SUPO-SAOP - SETOR DE PROJETOS\PROJETOS 2019\PROJETOS SEDUC-SECID PROJETO ESCOLA PADRÃO\saboneteira inox.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381500" y="24204930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1197</xdr:row>
      <xdr:rowOff>161925</xdr:rowOff>
    </xdr:from>
    <xdr:to>
      <xdr:col>3</xdr:col>
      <xdr:colOff>819150</xdr:colOff>
      <xdr:row>1203</xdr:row>
      <xdr:rowOff>76200</xdr:rowOff>
    </xdr:to>
    <xdr:pic>
      <xdr:nvPicPr>
        <xdr:cNvPr id="10" name="Imagem 8" descr="Y:\SUPO\PROJETOS\SUPO-SAOP - SETOR DE PROJETOS\PROJETOS 2019\PROJETOS SEDUC-SECID PROJETO ESCOLA PADRÃO\papeleira ferro.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410075" y="24735472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7" Type="http://schemas.openxmlformats.org/officeDocument/2006/relationships/drawing" Target="../drawings/drawing4.xm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hyperlink" Target="http://www.celeti.com.br/" TargetMode="External"/><Relationship Id="rId7" Type="http://schemas.openxmlformats.org/officeDocument/2006/relationships/printerSettings" Target="../printerSettings/printerSettings5.bin"/><Relationship Id="rId2" Type="http://schemas.openxmlformats.org/officeDocument/2006/relationships/hyperlink" Target="http://www.upperseg.com.br/" TargetMode="External"/><Relationship Id="rId1" Type="http://schemas.openxmlformats.org/officeDocument/2006/relationships/hyperlink" Target="http://www.primetal.com.br/" TargetMode="External"/><Relationship Id="rId6" Type="http://schemas.openxmlformats.org/officeDocument/2006/relationships/hyperlink" Target="http://www.lojaeletrica.com.br/" TargetMode="External"/><Relationship Id="rId5" Type="http://schemas.openxmlformats.org/officeDocument/2006/relationships/hyperlink" Target="http://www.upperseg.com.br/" TargetMode="External"/><Relationship Id="rId4" Type="http://schemas.openxmlformats.org/officeDocument/2006/relationships/hyperlink" Target="http://www.upperseg.com.br/"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90" zoomScaleNormal="90" workbookViewId="0">
      <selection sqref="A1:M41"/>
    </sheetView>
  </sheetViews>
  <sheetFormatPr defaultRowHeight="15"/>
  <cols>
    <col min="1" max="1" width="18.5703125" customWidth="1"/>
    <col min="2" max="2" width="67.42578125" customWidth="1"/>
    <col min="3" max="3" width="16" customWidth="1"/>
    <col min="4" max="4" width="10.28515625" customWidth="1"/>
    <col min="5" max="5" width="14.140625" customWidth="1"/>
    <col min="6" max="6" width="10.5703125" bestFit="1" customWidth="1"/>
    <col min="7" max="7" width="15" customWidth="1"/>
    <col min="8" max="8" width="10.5703125" customWidth="1"/>
    <col min="9" max="9" width="14.42578125" customWidth="1"/>
    <col min="10" max="10" width="11.28515625" customWidth="1"/>
    <col min="11" max="11" width="13.28515625" customWidth="1"/>
    <col min="12" max="12" width="10.140625" customWidth="1"/>
    <col min="13" max="13" width="11.140625" customWidth="1"/>
  </cols>
  <sheetData>
    <row r="1" spans="1:13" ht="18.75" customHeight="1">
      <c r="A1" s="216"/>
      <c r="B1" s="121"/>
      <c r="C1" s="37"/>
      <c r="D1" s="37"/>
      <c r="E1" s="37"/>
      <c r="F1" s="37"/>
      <c r="G1" s="37"/>
      <c r="H1" s="37"/>
      <c r="I1" s="37"/>
      <c r="J1" s="37"/>
      <c r="K1" s="37"/>
      <c r="L1" s="37"/>
      <c r="M1" s="112"/>
    </row>
    <row r="2" spans="1:13" ht="18" customHeight="1">
      <c r="A2" s="111"/>
      <c r="B2" s="122"/>
      <c r="C2" s="1986" t="s">
        <v>127</v>
      </c>
      <c r="D2" s="1986"/>
      <c r="E2" s="1986"/>
      <c r="F2" s="1986"/>
      <c r="G2" s="1986"/>
      <c r="H2" s="1986"/>
      <c r="I2" s="1986"/>
      <c r="J2" s="1986"/>
      <c r="K2" s="1986"/>
      <c r="L2" s="239"/>
      <c r="M2" s="1251"/>
    </row>
    <row r="3" spans="1:13" ht="18" customHeight="1">
      <c r="A3" s="111"/>
      <c r="B3" s="123"/>
      <c r="C3" s="1986" t="s">
        <v>128</v>
      </c>
      <c r="D3" s="1986"/>
      <c r="E3" s="1986"/>
      <c r="F3" s="1986"/>
      <c r="G3" s="1986"/>
      <c r="H3" s="1986"/>
      <c r="I3" s="1986"/>
      <c r="J3" s="1986"/>
      <c r="K3" s="1986"/>
      <c r="L3" s="239"/>
      <c r="M3" s="1251"/>
    </row>
    <row r="4" spans="1:13" ht="20.25" customHeight="1">
      <c r="A4" s="111"/>
      <c r="B4" s="120"/>
      <c r="C4" s="1986" t="s">
        <v>204</v>
      </c>
      <c r="D4" s="1986"/>
      <c r="E4" s="1986"/>
      <c r="F4" s="1986"/>
      <c r="G4" s="1986"/>
      <c r="H4" s="1986"/>
      <c r="I4" s="1986"/>
      <c r="J4" s="1986"/>
      <c r="K4" s="1986"/>
      <c r="L4" s="114"/>
      <c r="M4" s="113"/>
    </row>
    <row r="5" spans="1:13" ht="18" customHeight="1">
      <c r="A5" s="111"/>
      <c r="B5" s="120"/>
      <c r="C5" s="114"/>
      <c r="D5" s="114"/>
      <c r="E5" s="114"/>
      <c r="F5" s="114"/>
      <c r="G5" s="114"/>
      <c r="H5" s="114"/>
      <c r="I5" s="114"/>
      <c r="J5" s="114"/>
      <c r="K5" s="114"/>
      <c r="L5" s="114"/>
      <c r="M5" s="113"/>
    </row>
    <row r="6" spans="1:13" ht="15.75">
      <c r="A6" s="127" t="s">
        <v>0</v>
      </c>
      <c r="B6" s="128" t="str">
        <f>'RESUMO SEM DESONERAÇÃO'!B8:C8</f>
        <v>364778/2019</v>
      </c>
      <c r="C6" s="109"/>
      <c r="D6" s="109"/>
      <c r="E6" s="109"/>
      <c r="F6" s="109"/>
      <c r="G6" s="109"/>
      <c r="H6" s="109"/>
      <c r="I6" s="109"/>
      <c r="J6" s="109"/>
      <c r="K6" s="109"/>
      <c r="L6" s="109"/>
      <c r="M6" s="38"/>
    </row>
    <row r="7" spans="1:13" ht="15.75" customHeight="1">
      <c r="A7" s="126" t="str">
        <f>'RESUMO SEM DESONERAÇÃO'!A9</f>
        <v>OBRA:</v>
      </c>
      <c r="B7" s="1984" t="str">
        <f>'RESUMO SEM DESONERAÇÃO'!B9</f>
        <v>CONSTRUÇÃO DE DIRETORIA DE UNIDADE DESCONCENTRADA DA SEMA - DUDS</v>
      </c>
      <c r="C7" s="1984"/>
      <c r="D7" s="1984"/>
      <c r="E7" s="1984"/>
      <c r="F7" s="1984"/>
      <c r="G7" s="300"/>
      <c r="H7" s="300"/>
      <c r="I7" s="844"/>
      <c r="J7" s="844"/>
      <c r="K7" s="300"/>
      <c r="L7" s="300"/>
      <c r="M7" s="39"/>
    </row>
    <row r="8" spans="1:13" ht="15.75" customHeight="1">
      <c r="A8" s="124" t="str">
        <f>'RESUMO SEM DESONERAÇÃO'!A10</f>
        <v>ENDEREÇO:</v>
      </c>
      <c r="B8" s="1984" t="str">
        <f>'RESUMO SEM DESONERAÇÃO'!B10</f>
        <v>Rua Erichin, esquina com Rua Circular - Bairro Residencial Arco Íris</v>
      </c>
      <c r="C8" s="1984"/>
      <c r="D8" s="1984"/>
      <c r="E8" s="1984"/>
      <c r="F8" s="1984"/>
      <c r="G8" s="300"/>
      <c r="H8" s="300"/>
      <c r="I8" s="844"/>
      <c r="J8" s="844"/>
      <c r="K8" s="300"/>
      <c r="L8" s="887" t="str">
        <f>'RESUMO SEM DESONERAÇÃO'!D11</f>
        <v>BDI:</v>
      </c>
      <c r="M8" s="39">
        <f>'RESUMO SEM DESONERAÇÃO'!E11</f>
        <v>0.2223</v>
      </c>
    </row>
    <row r="9" spans="1:13" ht="15.75">
      <c r="A9" s="124" t="str">
        <f>'RESUMO SEM DESONERAÇÃO'!A11</f>
        <v>MUNICÍPIO:</v>
      </c>
      <c r="B9" s="1984" t="str">
        <f>'RESUMO SEM DESONERAÇÃO'!B11</f>
        <v>CONFRESA - MT</v>
      </c>
      <c r="C9" s="1984"/>
      <c r="D9" s="1984"/>
      <c r="E9" s="1984"/>
      <c r="F9" s="1984"/>
      <c r="G9" s="300"/>
      <c r="H9" s="300"/>
      <c r="I9" s="844"/>
      <c r="J9" s="844"/>
      <c r="K9" s="300"/>
      <c r="L9" s="887" t="str">
        <f>'RESUMO SEM DESONERAÇÃO'!D10</f>
        <v>Prazo:</v>
      </c>
      <c r="M9" s="40" t="str">
        <f>'RESUMO SEM DESONERAÇÃO'!E10</f>
        <v>120 dias</v>
      </c>
    </row>
    <row r="10" spans="1:13" ht="16.5" thickBot="1">
      <c r="A10" s="125" t="str">
        <f>'RESUMO SEM DESONERAÇÃO'!A12</f>
        <v>ASSUNTO:</v>
      </c>
      <c r="B10" s="1985" t="str">
        <f>'RESUMO SEM DESONERAÇÃO'!B12</f>
        <v xml:space="preserve">CONSTRUÇÃO </v>
      </c>
      <c r="C10" s="1985"/>
      <c r="D10" s="1985"/>
      <c r="E10" s="1985"/>
      <c r="F10" s="1985"/>
      <c r="G10" s="301"/>
      <c r="H10" s="301"/>
      <c r="I10" s="845"/>
      <c r="J10" s="845"/>
      <c r="K10" s="301"/>
      <c r="L10" s="301"/>
      <c r="M10" s="110"/>
    </row>
    <row r="11" spans="1:13" ht="5.25" customHeight="1" thickBot="1">
      <c r="A11" s="310"/>
      <c r="B11" s="3"/>
      <c r="C11" s="3"/>
      <c r="D11" s="3"/>
      <c r="E11" s="3"/>
      <c r="F11" s="9"/>
      <c r="G11" s="9"/>
      <c r="H11" s="9"/>
      <c r="I11" s="9"/>
      <c r="J11" s="9"/>
      <c r="K11" s="9"/>
      <c r="L11" s="9"/>
      <c r="M11" s="311"/>
    </row>
    <row r="12" spans="1:13" ht="16.5" thickBot="1">
      <c r="A12" s="1989" t="s">
        <v>34</v>
      </c>
      <c r="B12" s="1990"/>
      <c r="C12" s="1990"/>
      <c r="D12" s="1990"/>
      <c r="E12" s="1990"/>
      <c r="F12" s="1990"/>
      <c r="G12" s="1990"/>
      <c r="H12" s="1990"/>
      <c r="I12" s="1990"/>
      <c r="J12" s="1990"/>
      <c r="K12" s="1990"/>
      <c r="L12" s="1990"/>
      <c r="M12" s="1991"/>
    </row>
    <row r="13" spans="1:13" ht="15.75">
      <c r="A13" s="1992" t="s">
        <v>29</v>
      </c>
      <c r="B13" s="1995" t="s">
        <v>35</v>
      </c>
      <c r="C13" s="1995" t="s">
        <v>66</v>
      </c>
      <c r="D13" s="1995"/>
      <c r="E13" s="1998" t="s">
        <v>65</v>
      </c>
      <c r="F13" s="1999"/>
      <c r="G13" s="1999"/>
      <c r="H13" s="1999"/>
      <c r="I13" s="1999"/>
      <c r="J13" s="1999"/>
      <c r="K13" s="1999"/>
      <c r="L13" s="1999"/>
      <c r="M13" s="2000"/>
    </row>
    <row r="14" spans="1:13" ht="15.75">
      <c r="A14" s="1993"/>
      <c r="B14" s="1996"/>
      <c r="C14" s="1996"/>
      <c r="D14" s="1996"/>
      <c r="E14" s="1987" t="s">
        <v>36</v>
      </c>
      <c r="F14" s="1987"/>
      <c r="G14" s="1987" t="s">
        <v>37</v>
      </c>
      <c r="H14" s="1987"/>
      <c r="I14" s="1987" t="s">
        <v>126</v>
      </c>
      <c r="J14" s="1987"/>
      <c r="K14" s="1987" t="s">
        <v>1304</v>
      </c>
      <c r="L14" s="1987"/>
      <c r="M14" s="10" t="s">
        <v>38</v>
      </c>
    </row>
    <row r="15" spans="1:13" ht="15.75" thickBot="1">
      <c r="A15" s="1994"/>
      <c r="B15" s="1997"/>
      <c r="C15" s="11" t="s">
        <v>39</v>
      </c>
      <c r="D15" s="12" t="s">
        <v>32</v>
      </c>
      <c r="E15" s="13" t="s">
        <v>39</v>
      </c>
      <c r="F15" s="14" t="s">
        <v>32</v>
      </c>
      <c r="G15" s="13" t="s">
        <v>39</v>
      </c>
      <c r="H15" s="14" t="s">
        <v>32</v>
      </c>
      <c r="I15" s="13" t="s">
        <v>39</v>
      </c>
      <c r="J15" s="14" t="s">
        <v>32</v>
      </c>
      <c r="K15" s="13" t="s">
        <v>39</v>
      </c>
      <c r="L15" s="14" t="s">
        <v>32</v>
      </c>
      <c r="M15" s="15" t="s">
        <v>32</v>
      </c>
    </row>
    <row r="16" spans="1:13" ht="15.75">
      <c r="A16" s="47">
        <f>'RESUMO SEM DESONERAÇÃO'!A16</f>
        <v>1</v>
      </c>
      <c r="B16" s="54" t="str">
        <f>'RESUMO SEM DESONERAÇÃO'!B16:C16</f>
        <v>ADMINISTRAÇÃO LOCAL</v>
      </c>
      <c r="C16" s="55">
        <f>'RESUMO SEM DESONERAÇÃO'!D16</f>
        <v>25326.83</v>
      </c>
      <c r="D16" s="28">
        <f t="shared" ref="D16:D37" si="0">100*C16/C$38</f>
        <v>1.6110970888469105</v>
      </c>
      <c r="E16" s="31">
        <f>F16*C16</f>
        <v>5065.3660000000009</v>
      </c>
      <c r="F16" s="51">
        <v>0.2</v>
      </c>
      <c r="G16" s="31">
        <f>H16*C16</f>
        <v>5065.3660000000009</v>
      </c>
      <c r="H16" s="51">
        <v>0.2</v>
      </c>
      <c r="I16" s="31">
        <f>J16*C16</f>
        <v>7598.049</v>
      </c>
      <c r="J16" s="51">
        <v>0.3</v>
      </c>
      <c r="K16" s="31">
        <f>L16*C16</f>
        <v>7598.049</v>
      </c>
      <c r="L16" s="51">
        <v>0.3</v>
      </c>
      <c r="M16" s="134">
        <f>+F16+H16+J16+L16</f>
        <v>1</v>
      </c>
    </row>
    <row r="17" spans="1:13" ht="15.75">
      <c r="A17" s="47">
        <f>'RESUMO SEM DESONERAÇÃO'!A17</f>
        <v>2</v>
      </c>
      <c r="B17" s="54" t="str">
        <f>'RESUMO SEM DESONERAÇÃO'!B17:C17</f>
        <v>SERVIÇO PRELIMINARES</v>
      </c>
      <c r="C17" s="55">
        <f>'RESUMO SEM DESONERAÇÃO'!D17</f>
        <v>129397.46</v>
      </c>
      <c r="D17" s="28">
        <f t="shared" si="0"/>
        <v>8.2312658595720247</v>
      </c>
      <c r="E17" s="31">
        <f>F17*C17</f>
        <v>129397.46</v>
      </c>
      <c r="F17" s="51">
        <v>1</v>
      </c>
      <c r="G17" s="31">
        <f>H17*C17</f>
        <v>0</v>
      </c>
      <c r="H17" s="51"/>
      <c r="I17" s="31">
        <f t="shared" ref="I17:I37" si="1">J17*C17</f>
        <v>0</v>
      </c>
      <c r="J17" s="51"/>
      <c r="K17" s="31">
        <f t="shared" ref="K17:K37" si="2">L17*C17</f>
        <v>0</v>
      </c>
      <c r="L17" s="51"/>
      <c r="M17" s="134">
        <f t="shared" ref="M17:M37" si="3">+F17+H17+J17+L17</f>
        <v>1</v>
      </c>
    </row>
    <row r="18" spans="1:13" ht="15.75">
      <c r="A18" s="47">
        <f>'RESUMO SEM DESONERAÇÃO'!A18</f>
        <v>3</v>
      </c>
      <c r="B18" s="4" t="str">
        <f>'RESUMO SEM DESONERAÇÃO'!B18:C18</f>
        <v>MOVIMENTO DE TERRA</v>
      </c>
      <c r="C18" s="49">
        <f>'RESUMO SEM DESONERAÇÃO'!D18</f>
        <v>32842.89</v>
      </c>
      <c r="D18" s="28">
        <f t="shared" si="0"/>
        <v>2.0892107092881069</v>
      </c>
      <c r="E18" s="31">
        <f>F18*C18</f>
        <v>26274.312000000002</v>
      </c>
      <c r="F18" s="50">
        <v>0.8</v>
      </c>
      <c r="G18" s="31">
        <f>H18*C18</f>
        <v>6568.5780000000004</v>
      </c>
      <c r="H18" s="16">
        <v>0.2</v>
      </c>
      <c r="I18" s="31">
        <f t="shared" si="1"/>
        <v>0</v>
      </c>
      <c r="J18" s="16"/>
      <c r="K18" s="31">
        <f t="shared" si="2"/>
        <v>0</v>
      </c>
      <c r="L18" s="50"/>
      <c r="M18" s="134">
        <f t="shared" si="3"/>
        <v>1</v>
      </c>
    </row>
    <row r="19" spans="1:13" ht="15.75">
      <c r="A19" s="47">
        <f>'RESUMO SEM DESONERAÇÃO'!A19</f>
        <v>4</v>
      </c>
      <c r="B19" s="17" t="str">
        <f>'RESUMO SEM DESONERAÇÃO'!B19:C19</f>
        <v>ESTRUTURA EM CONCRETO ARMADO</v>
      </c>
      <c r="C19" s="49">
        <f>'RESUMO SEM DESONERAÇÃO'!D19</f>
        <v>216484.34</v>
      </c>
      <c r="D19" s="28">
        <f t="shared" si="0"/>
        <v>13.77105977948858</v>
      </c>
      <c r="E19" s="31">
        <f t="shared" ref="E19:E37" si="4">F19*C19</f>
        <v>43296.868000000002</v>
      </c>
      <c r="F19" s="16">
        <v>0.2</v>
      </c>
      <c r="G19" s="31">
        <f>H19*C19</f>
        <v>173187.47200000001</v>
      </c>
      <c r="H19" s="16">
        <v>0.8</v>
      </c>
      <c r="I19" s="31">
        <f t="shared" si="1"/>
        <v>0</v>
      </c>
      <c r="J19" s="16">
        <v>0</v>
      </c>
      <c r="K19" s="31">
        <f t="shared" si="2"/>
        <v>0</v>
      </c>
      <c r="L19" s="16"/>
      <c r="M19" s="134">
        <f t="shared" si="3"/>
        <v>1</v>
      </c>
    </row>
    <row r="20" spans="1:13" ht="15.75">
      <c r="A20" s="47">
        <f>'RESUMO SEM DESONERAÇÃO'!A20</f>
        <v>5</v>
      </c>
      <c r="B20" s="17" t="str">
        <f>'RESUMO SEM DESONERAÇÃO'!B20:C20</f>
        <v>FECHAMENTOS EM ALVENARIA</v>
      </c>
      <c r="C20" s="49">
        <f>'RESUMO SEM DESONERAÇÃO'!D20</f>
        <v>66105.05</v>
      </c>
      <c r="D20" s="28">
        <f t="shared" si="0"/>
        <v>4.2050921340364926</v>
      </c>
      <c r="E20" s="31">
        <f t="shared" si="4"/>
        <v>6610.505000000001</v>
      </c>
      <c r="F20" s="16">
        <v>0.1</v>
      </c>
      <c r="G20" s="31">
        <f t="shared" ref="G20:G37" si="5">H20*C20</f>
        <v>26442.020000000004</v>
      </c>
      <c r="H20" s="16">
        <v>0.4</v>
      </c>
      <c r="I20" s="31">
        <f t="shared" si="1"/>
        <v>33052.525000000001</v>
      </c>
      <c r="J20" s="16">
        <v>0.5</v>
      </c>
      <c r="K20" s="31">
        <f t="shared" si="2"/>
        <v>0</v>
      </c>
      <c r="L20" s="16"/>
      <c r="M20" s="134">
        <f t="shared" si="3"/>
        <v>1</v>
      </c>
    </row>
    <row r="21" spans="1:13" ht="15.75">
      <c r="A21" s="47">
        <f>'RESUMO SEM DESONERAÇÃO'!A21</f>
        <v>6</v>
      </c>
      <c r="B21" s="17" t="str">
        <f>'RESUMO SEM DESONERAÇÃO'!B21:C21</f>
        <v>REVESTIMENTO DE PISO</v>
      </c>
      <c r="C21" s="49">
        <f>'RESUMO SEM DESONERAÇÃO'!D21</f>
        <v>63895.95</v>
      </c>
      <c r="D21" s="28">
        <f t="shared" si="0"/>
        <v>4.0645662735568466</v>
      </c>
      <c r="E21" s="31">
        <f t="shared" si="4"/>
        <v>0</v>
      </c>
      <c r="F21" s="16"/>
      <c r="G21" s="31">
        <f t="shared" si="5"/>
        <v>0</v>
      </c>
      <c r="H21" s="16"/>
      <c r="I21" s="31">
        <f t="shared" si="1"/>
        <v>38337.57</v>
      </c>
      <c r="J21" s="16">
        <v>0.6</v>
      </c>
      <c r="K21" s="31">
        <f t="shared" si="2"/>
        <v>25558.38</v>
      </c>
      <c r="L21" s="16">
        <v>0.4</v>
      </c>
      <c r="M21" s="134">
        <f t="shared" si="3"/>
        <v>1</v>
      </c>
    </row>
    <row r="22" spans="1:13" ht="15.75">
      <c r="A22" s="47">
        <f>'RESUMO SEM DESONERAÇÃO'!A22</f>
        <v>7</v>
      </c>
      <c r="B22" s="17" t="str">
        <f>'RESUMO SEM DESONERAÇÃO'!B22:C22</f>
        <v>REVESTIMENTO DE PAREDE</v>
      </c>
      <c r="C22" s="49">
        <f>'RESUMO SEM DESONERAÇÃO'!D22</f>
        <v>80010</v>
      </c>
      <c r="D22" s="28">
        <f t="shared" si="0"/>
        <v>5.0896175351846757</v>
      </c>
      <c r="E22" s="31">
        <f t="shared" si="4"/>
        <v>0</v>
      </c>
      <c r="F22" s="16"/>
      <c r="G22" s="31">
        <f t="shared" si="5"/>
        <v>24003</v>
      </c>
      <c r="H22" s="16">
        <v>0.3</v>
      </c>
      <c r="I22" s="31">
        <f t="shared" si="1"/>
        <v>40005</v>
      </c>
      <c r="J22" s="16">
        <v>0.5</v>
      </c>
      <c r="K22" s="31">
        <f t="shared" si="2"/>
        <v>16002</v>
      </c>
      <c r="L22" s="16">
        <v>0.2</v>
      </c>
      <c r="M22" s="134">
        <f t="shared" si="3"/>
        <v>1</v>
      </c>
    </row>
    <row r="23" spans="1:13" ht="15.75">
      <c r="A23" s="47">
        <f>'RESUMO SEM DESONERAÇÃO'!A23</f>
        <v>8</v>
      </c>
      <c r="B23" s="17" t="str">
        <f>'RESUMO SEM DESONERAÇÃO'!B23:C23</f>
        <v>ESQUADRIAS</v>
      </c>
      <c r="C23" s="49">
        <f>'RESUMO SEM DESONERAÇÃO'!D23</f>
        <v>70104.31</v>
      </c>
      <c r="D23" s="28">
        <f t="shared" si="0"/>
        <v>4.4594941315838321</v>
      </c>
      <c r="E23" s="31">
        <f t="shared" si="4"/>
        <v>0</v>
      </c>
      <c r="F23" s="16"/>
      <c r="G23" s="31">
        <f t="shared" si="5"/>
        <v>14020.862000000001</v>
      </c>
      <c r="H23" s="16">
        <v>0.2</v>
      </c>
      <c r="I23" s="31">
        <f t="shared" si="1"/>
        <v>42062.585999999996</v>
      </c>
      <c r="J23" s="16">
        <v>0.6</v>
      </c>
      <c r="K23" s="31">
        <f t="shared" si="2"/>
        <v>14020.862000000001</v>
      </c>
      <c r="L23" s="16">
        <v>0.2</v>
      </c>
      <c r="M23" s="134">
        <f t="shared" si="3"/>
        <v>1</v>
      </c>
    </row>
    <row r="24" spans="1:13" ht="18" customHeight="1">
      <c r="A24" s="47">
        <f>'RESUMO SEM DESONERAÇÃO'!A24</f>
        <v>9</v>
      </c>
      <c r="B24" s="17" t="str">
        <f>'RESUMO SEM DESONERAÇÃO'!B24:C24</f>
        <v>PINTURA</v>
      </c>
      <c r="C24" s="49">
        <f>'RESUMO SEM DESONERAÇÃO'!D24</f>
        <v>43568.11</v>
      </c>
      <c r="D24" s="28">
        <f t="shared" si="0"/>
        <v>2.7714662746013601</v>
      </c>
      <c r="E24" s="31">
        <f t="shared" si="4"/>
        <v>0</v>
      </c>
      <c r="F24" s="16"/>
      <c r="G24" s="31">
        <f t="shared" si="5"/>
        <v>0</v>
      </c>
      <c r="H24" s="16">
        <v>0</v>
      </c>
      <c r="I24" s="31">
        <f t="shared" si="1"/>
        <v>8713.6220000000012</v>
      </c>
      <c r="J24" s="16">
        <v>0.2</v>
      </c>
      <c r="K24" s="31">
        <f t="shared" si="2"/>
        <v>34854.488000000005</v>
      </c>
      <c r="L24" s="16">
        <v>0.8</v>
      </c>
      <c r="M24" s="134">
        <f t="shared" si="3"/>
        <v>1</v>
      </c>
    </row>
    <row r="25" spans="1:13" ht="18" customHeight="1">
      <c r="A25" s="47">
        <f>'RESUMO SEM DESONERAÇÃO'!A25</f>
        <v>10</v>
      </c>
      <c r="B25" s="17" t="str">
        <f>'RESUMO SEM DESONERAÇÃO'!B25:C25</f>
        <v xml:space="preserve">COBERTURA </v>
      </c>
      <c r="C25" s="49">
        <f>'RESUMO SEM DESONERAÇÃO'!D25</f>
        <v>123412.69</v>
      </c>
      <c r="D25" s="28">
        <f t="shared" si="0"/>
        <v>7.8505610684703226</v>
      </c>
      <c r="E25" s="31">
        <f t="shared" si="4"/>
        <v>0</v>
      </c>
      <c r="F25" s="16"/>
      <c r="G25" s="31">
        <f t="shared" si="5"/>
        <v>37023.807000000001</v>
      </c>
      <c r="H25" s="16">
        <v>0.3</v>
      </c>
      <c r="I25" s="31">
        <f t="shared" si="1"/>
        <v>61706.345000000001</v>
      </c>
      <c r="J25" s="16">
        <v>0.5</v>
      </c>
      <c r="K25" s="31">
        <f t="shared" si="2"/>
        <v>24682.538</v>
      </c>
      <c r="L25" s="16">
        <v>0.2</v>
      </c>
      <c r="M25" s="134">
        <f t="shared" si="3"/>
        <v>1</v>
      </c>
    </row>
    <row r="26" spans="1:13" ht="15.75">
      <c r="A26" s="47">
        <f>'RESUMO SEM DESONERAÇÃO'!A26</f>
        <v>11</v>
      </c>
      <c r="B26" s="17" t="str">
        <f>'RESUMO SEM DESONERAÇÃO'!B26:C26</f>
        <v>INSTALAÇÕES ELÉTRICAS</v>
      </c>
      <c r="C26" s="49">
        <f>'RESUMO SEM DESONERAÇÃO'!D26</f>
        <v>34919.25</v>
      </c>
      <c r="D26" s="28">
        <f t="shared" si="0"/>
        <v>2.2212926773590489</v>
      </c>
      <c r="E26" s="31">
        <f t="shared" si="4"/>
        <v>0</v>
      </c>
      <c r="F26" s="16"/>
      <c r="G26" s="31">
        <f t="shared" si="5"/>
        <v>17459.625</v>
      </c>
      <c r="H26" s="16">
        <v>0.5</v>
      </c>
      <c r="I26" s="31">
        <f t="shared" si="1"/>
        <v>17459.625</v>
      </c>
      <c r="J26" s="16">
        <v>0.5</v>
      </c>
      <c r="K26" s="31">
        <f t="shared" si="2"/>
        <v>0</v>
      </c>
      <c r="L26" s="16">
        <v>0</v>
      </c>
      <c r="M26" s="134">
        <f t="shared" si="3"/>
        <v>1</v>
      </c>
    </row>
    <row r="27" spans="1:13" ht="15.75">
      <c r="A27" s="47" t="str">
        <f>'RESUMO SEM DESONERAÇÃO'!A27</f>
        <v>11.2</v>
      </c>
      <c r="B27" s="17" t="str">
        <f>'RESUMO SEM DESONERAÇÃO'!B27:C27</f>
        <v xml:space="preserve">CABEAMENTO ESTRUTURADO </v>
      </c>
      <c r="C27" s="49">
        <f>'RESUMO SEM DESONERAÇÃO'!D27</f>
        <v>20320.37</v>
      </c>
      <c r="D27" s="28">
        <f t="shared" si="0"/>
        <v>1.2926248153160933</v>
      </c>
      <c r="E27" s="31">
        <f t="shared" si="4"/>
        <v>0</v>
      </c>
      <c r="F27" s="16"/>
      <c r="G27" s="31">
        <f t="shared" si="5"/>
        <v>6096.1109999999999</v>
      </c>
      <c r="H27" s="16">
        <v>0.3</v>
      </c>
      <c r="I27" s="31">
        <f t="shared" si="1"/>
        <v>14224.258999999998</v>
      </c>
      <c r="J27" s="16">
        <v>0.7</v>
      </c>
      <c r="K27" s="31">
        <f t="shared" si="2"/>
        <v>0</v>
      </c>
      <c r="L27" s="16">
        <v>0</v>
      </c>
      <c r="M27" s="134">
        <f t="shared" si="3"/>
        <v>1</v>
      </c>
    </row>
    <row r="28" spans="1:13" ht="15.75">
      <c r="A28" s="47">
        <f>'RESUMO SEM DESONERAÇÃO'!A28</f>
        <v>12</v>
      </c>
      <c r="B28" s="17" t="str">
        <f>'RESUMO SEM DESONERAÇÃO'!B28:C28</f>
        <v>SPDA</v>
      </c>
      <c r="C28" s="49">
        <f>'RESUMO SEM DESONERAÇÃO'!D28</f>
        <v>20130.47</v>
      </c>
      <c r="D28" s="28">
        <f t="shared" si="0"/>
        <v>1.2805448456881523</v>
      </c>
      <c r="E28" s="31">
        <f t="shared" si="4"/>
        <v>0</v>
      </c>
      <c r="F28" s="16"/>
      <c r="G28" s="31">
        <f t="shared" si="5"/>
        <v>6039.1410000000005</v>
      </c>
      <c r="H28" s="16">
        <v>0.3</v>
      </c>
      <c r="I28" s="31">
        <f t="shared" si="1"/>
        <v>14091.329</v>
      </c>
      <c r="J28" s="16">
        <v>0.7</v>
      </c>
      <c r="K28" s="31">
        <f t="shared" si="2"/>
        <v>0</v>
      </c>
      <c r="L28" s="16">
        <v>0</v>
      </c>
      <c r="M28" s="134">
        <f t="shared" si="3"/>
        <v>1</v>
      </c>
    </row>
    <row r="29" spans="1:13" ht="15.75">
      <c r="A29" s="47">
        <f>'RESUMO SEM DESONERAÇÃO'!A29</f>
        <v>13</v>
      </c>
      <c r="B29" s="17" t="str">
        <f>'RESUMO SEM DESONERAÇÃO'!B29:C29</f>
        <v>INSTALAÇÕES HIDRÁULICAS</v>
      </c>
      <c r="C29" s="49">
        <f>'RESUMO SEM DESONERAÇÃO'!D29</f>
        <v>13892.91</v>
      </c>
      <c r="D29" s="28">
        <f t="shared" si="0"/>
        <v>0.883759509445601</v>
      </c>
      <c r="E29" s="31">
        <f t="shared" si="4"/>
        <v>0</v>
      </c>
      <c r="F29" s="16"/>
      <c r="G29" s="31">
        <f t="shared" si="5"/>
        <v>6946.4549999999999</v>
      </c>
      <c r="H29" s="16">
        <v>0.5</v>
      </c>
      <c r="I29" s="31">
        <f t="shared" si="1"/>
        <v>6946.4549999999999</v>
      </c>
      <c r="J29" s="16">
        <v>0.5</v>
      </c>
      <c r="K29" s="31">
        <f t="shared" si="2"/>
        <v>0</v>
      </c>
      <c r="L29" s="16">
        <v>0</v>
      </c>
      <c r="M29" s="134">
        <f t="shared" si="3"/>
        <v>1</v>
      </c>
    </row>
    <row r="30" spans="1:13" ht="15.75">
      <c r="A30" s="888">
        <f>'RESUMO SEM DESONERAÇÃO'!A30</f>
        <v>14</v>
      </c>
      <c r="B30" s="17" t="str">
        <f>'RESUMO SEM DESONERAÇÃO'!B30:C30</f>
        <v>APARELHOS E METAIS</v>
      </c>
      <c r="C30" s="49">
        <f>'RESUMO SEM DESONERAÇÃO'!D30</f>
        <v>8053.75</v>
      </c>
      <c r="D30" s="28">
        <f t="shared" si="0"/>
        <v>0.51231730063734016</v>
      </c>
      <c r="E30" s="31">
        <f t="shared" si="4"/>
        <v>0</v>
      </c>
      <c r="F30" s="16"/>
      <c r="G30" s="31">
        <f t="shared" si="5"/>
        <v>1610.75</v>
      </c>
      <c r="H30" s="16">
        <v>0.2</v>
      </c>
      <c r="I30" s="31">
        <f t="shared" si="1"/>
        <v>6443</v>
      </c>
      <c r="J30" s="16">
        <v>0.8</v>
      </c>
      <c r="K30" s="31">
        <f t="shared" si="2"/>
        <v>0</v>
      </c>
      <c r="L30" s="16"/>
      <c r="M30" s="134">
        <f t="shared" si="3"/>
        <v>1</v>
      </c>
    </row>
    <row r="31" spans="1:13" ht="15.75">
      <c r="A31" s="47" t="str">
        <f>'RESUMO SEM DESONERAÇÃO'!A31</f>
        <v>15.1</v>
      </c>
      <c r="B31" s="17" t="str">
        <f>'RESUMO SEM DESONERAÇÃO'!B31:C31</f>
        <v>SERVIÇOS DE INSTALAÇÕES SANITÁRIAS</v>
      </c>
      <c r="C31" s="49">
        <f>'RESUMO SEM DESONERAÇÃO'!D31</f>
        <v>7149.39</v>
      </c>
      <c r="D31" s="28">
        <f t="shared" si="0"/>
        <v>0.45478891025964219</v>
      </c>
      <c r="E31" s="31">
        <f t="shared" si="4"/>
        <v>0</v>
      </c>
      <c r="F31" s="16"/>
      <c r="G31" s="31">
        <f t="shared" si="5"/>
        <v>3574.6950000000002</v>
      </c>
      <c r="H31" s="16">
        <v>0.5</v>
      </c>
      <c r="I31" s="31">
        <f t="shared" si="1"/>
        <v>3574.6950000000002</v>
      </c>
      <c r="J31" s="16">
        <v>0.5</v>
      </c>
      <c r="K31" s="31">
        <f t="shared" si="2"/>
        <v>0</v>
      </c>
      <c r="L31" s="16">
        <v>0</v>
      </c>
      <c r="M31" s="134">
        <f t="shared" si="3"/>
        <v>1</v>
      </c>
    </row>
    <row r="32" spans="1:13" ht="53.25" customHeight="1">
      <c r="A32" s="47" t="str">
        <f>'RESUMO SEM DESONERAÇÃO'!A32</f>
        <v>15.2.1</v>
      </c>
      <c r="B32" s="17" t="str">
        <f>'RESUMO SEM DESONERAÇÃO'!B32:C32</f>
        <v xml:space="preserve">SUMIDOURO CIRCULAR, EM ALVENARIA COM TIJOLOS CERÂMICOS MACIÇOS, DIMENSÕES INTERNAS: DIAMETRO 2,84 M, ALTURA 3,00 M, ÁREA DE INFILTRAÇÃO: 132,40 M² </v>
      </c>
      <c r="C32" s="49">
        <f>'RESUMO SEM DESONERAÇÃO'!D32</f>
        <v>5530.67</v>
      </c>
      <c r="D32" s="28">
        <f t="shared" si="0"/>
        <v>0.35181846035895303</v>
      </c>
      <c r="E32" s="31">
        <f t="shared" si="4"/>
        <v>0</v>
      </c>
      <c r="F32" s="16"/>
      <c r="G32" s="31">
        <f t="shared" si="5"/>
        <v>0</v>
      </c>
      <c r="H32" s="16"/>
      <c r="I32" s="31">
        <f t="shared" si="1"/>
        <v>5530.67</v>
      </c>
      <c r="J32" s="16">
        <v>1</v>
      </c>
      <c r="K32" s="31">
        <f t="shared" si="2"/>
        <v>0</v>
      </c>
      <c r="L32" s="16"/>
      <c r="M32" s="134">
        <f t="shared" si="3"/>
        <v>1</v>
      </c>
    </row>
    <row r="33" spans="1:16" ht="45.75" customHeight="1">
      <c r="A33" s="47" t="str">
        <f>'RESUMO SEM DESONERAÇÃO'!A33</f>
        <v>15.2.2</v>
      </c>
      <c r="B33" s="17" t="str">
        <f>'RESUMO SEM DESONERAÇÃO'!B33:C33</f>
        <v>FOSSA SÉPTICA E FILTRO ANAERÓBIO CONJUGADO EM BLOCO DE CONCRETO</v>
      </c>
      <c r="C33" s="49">
        <f>'RESUMO SEM DESONERAÇÃO'!D33</f>
        <v>8803.42</v>
      </c>
      <c r="D33" s="28">
        <f t="shared" si="0"/>
        <v>0.56000550933127713</v>
      </c>
      <c r="E33" s="31">
        <f t="shared" si="4"/>
        <v>0</v>
      </c>
      <c r="F33" s="16"/>
      <c r="G33" s="31">
        <f t="shared" si="5"/>
        <v>0</v>
      </c>
      <c r="H33" s="16">
        <v>0</v>
      </c>
      <c r="I33" s="31">
        <f t="shared" si="1"/>
        <v>7042.7360000000008</v>
      </c>
      <c r="J33" s="16">
        <v>0.8</v>
      </c>
      <c r="K33" s="31">
        <f t="shared" si="2"/>
        <v>1760.6840000000002</v>
      </c>
      <c r="L33" s="16">
        <v>0.2</v>
      </c>
      <c r="M33" s="134">
        <f t="shared" si="3"/>
        <v>1</v>
      </c>
    </row>
    <row r="34" spans="1:16" ht="30">
      <c r="A34" s="47">
        <f>'RESUMO SEM DESONERAÇÃO'!A34</f>
        <v>16</v>
      </c>
      <c r="B34" s="17" t="str">
        <f>'RESUMO SEM DESONERAÇÃO'!B34:C34</f>
        <v xml:space="preserve">BANCADAS, RODABANCADAS, DIVISÓRIAS E REQUADRO EM GRANITO </v>
      </c>
      <c r="C34" s="49">
        <f>'RESUMO SEM DESONERAÇÃO'!D34</f>
        <v>7087.79</v>
      </c>
      <c r="D34" s="28">
        <f t="shared" si="0"/>
        <v>0.45087039457201089</v>
      </c>
      <c r="E34" s="31">
        <f t="shared" si="4"/>
        <v>0</v>
      </c>
      <c r="F34" s="16"/>
      <c r="G34" s="31">
        <f t="shared" si="5"/>
        <v>0</v>
      </c>
      <c r="H34" s="16"/>
      <c r="I34" s="31">
        <f t="shared" si="1"/>
        <v>0</v>
      </c>
      <c r="J34" s="16"/>
      <c r="K34" s="31">
        <f t="shared" si="2"/>
        <v>7087.79</v>
      </c>
      <c r="L34" s="16">
        <v>1</v>
      </c>
      <c r="M34" s="134">
        <f t="shared" si="3"/>
        <v>1</v>
      </c>
    </row>
    <row r="35" spans="1:16" ht="15.75">
      <c r="A35" s="47">
        <f>'RESUMO SEM DESONERAÇÃO'!A35</f>
        <v>17</v>
      </c>
      <c r="B35" s="17" t="str">
        <f>'RESUMO SEM DESONERAÇÃO'!B35:C35</f>
        <v>MURETA COM GRADIL</v>
      </c>
      <c r="C35" s="49">
        <f>'RESUMO SEM DESONERAÇÃO'!D35</f>
        <v>385795.86000000004</v>
      </c>
      <c r="D35" s="28">
        <f t="shared" si="0"/>
        <v>24.54134950703228</v>
      </c>
      <c r="E35" s="31">
        <f t="shared" si="4"/>
        <v>0</v>
      </c>
      <c r="F35" s="16"/>
      <c r="G35" s="31">
        <f t="shared" si="5"/>
        <v>115738.75800000002</v>
      </c>
      <c r="H35" s="16">
        <v>0.3</v>
      </c>
      <c r="I35" s="31">
        <f t="shared" si="1"/>
        <v>231477.51600000003</v>
      </c>
      <c r="J35" s="16">
        <v>0.6</v>
      </c>
      <c r="K35" s="31">
        <f t="shared" si="2"/>
        <v>38579.586000000003</v>
      </c>
      <c r="L35" s="16">
        <v>0.1</v>
      </c>
      <c r="M35" s="134">
        <f t="shared" si="3"/>
        <v>0.99999999999999989</v>
      </c>
    </row>
    <row r="36" spans="1:16" ht="15.75">
      <c r="A36" s="47">
        <f>'RESUMO SEM DESONERAÇÃO'!A36</f>
        <v>18</v>
      </c>
      <c r="B36" s="17" t="str">
        <f>'RESUMO SEM DESONERAÇÃO'!B36:C36</f>
        <v>SERVIÇOS CONSTRUTIVOS COMPLEMENTARES</v>
      </c>
      <c r="C36" s="49">
        <f>'RESUMO SEM DESONERAÇÃO'!D36</f>
        <v>207133.44</v>
      </c>
      <c r="D36" s="28">
        <f t="shared" si="0"/>
        <v>13.176227825860805</v>
      </c>
      <c r="E36" s="31">
        <f t="shared" si="4"/>
        <v>0</v>
      </c>
      <c r="F36" s="16"/>
      <c r="G36" s="31">
        <f t="shared" si="5"/>
        <v>0</v>
      </c>
      <c r="H36" s="16">
        <v>0</v>
      </c>
      <c r="I36" s="31">
        <f t="shared" si="1"/>
        <v>41426.688000000002</v>
      </c>
      <c r="J36" s="16">
        <v>0.2</v>
      </c>
      <c r="K36" s="31">
        <f t="shared" si="2"/>
        <v>165706.75200000001</v>
      </c>
      <c r="L36" s="16">
        <v>0.8</v>
      </c>
      <c r="M36" s="134">
        <f t="shared" si="3"/>
        <v>1</v>
      </c>
    </row>
    <row r="37" spans="1:16" ht="16.5" thickBot="1">
      <c r="A37" s="47">
        <f>'RESUMO SEM DESONERAÇÃO'!A37</f>
        <v>19</v>
      </c>
      <c r="B37" s="17" t="str">
        <f>'RESUMO SEM DESONERAÇÃO'!B37:C37</f>
        <v>LIMPEZA GERAL</v>
      </c>
      <c r="C37" s="49">
        <f>'RESUMO SEM DESONERAÇÃO'!D37</f>
        <v>2058.87</v>
      </c>
      <c r="D37" s="28">
        <f t="shared" si="0"/>
        <v>0.13096938950963222</v>
      </c>
      <c r="E37" s="31">
        <f t="shared" si="4"/>
        <v>0</v>
      </c>
      <c r="F37" s="16"/>
      <c r="G37" s="31">
        <f t="shared" si="5"/>
        <v>0</v>
      </c>
      <c r="H37" s="16"/>
      <c r="I37" s="31">
        <f t="shared" si="1"/>
        <v>0</v>
      </c>
      <c r="J37" s="16"/>
      <c r="K37" s="31">
        <f t="shared" si="2"/>
        <v>2058.87</v>
      </c>
      <c r="L37" s="16">
        <v>1</v>
      </c>
      <c r="M37" s="134">
        <f t="shared" si="3"/>
        <v>1</v>
      </c>
    </row>
    <row r="38" spans="1:16" ht="15.75">
      <c r="A38" s="18"/>
      <c r="B38" s="19" t="s">
        <v>40</v>
      </c>
      <c r="C38" s="30">
        <f>SUM(C16:C37)</f>
        <v>1572023.8200000003</v>
      </c>
      <c r="D38" s="29">
        <f>SUM(D16:D37)</f>
        <v>100.00000000000001</v>
      </c>
      <c r="E38" s="26">
        <f>SUM(E16:E37)</f>
        <v>210644.511</v>
      </c>
      <c r="F38" s="20">
        <f>+E38/$C38</f>
        <v>0.13399575014073256</v>
      </c>
      <c r="G38" s="302">
        <f>SUM(G16:G37)</f>
        <v>443776.64</v>
      </c>
      <c r="H38" s="20">
        <f>+G38/$C38</f>
        <v>0.28229638403316304</v>
      </c>
      <c r="I38" s="302">
        <f>SUM(I16:I37)</f>
        <v>579692.67000000004</v>
      </c>
      <c r="J38" s="20">
        <f>+I38/$C38</f>
        <v>0.36875565282464989</v>
      </c>
      <c r="K38" s="26">
        <f>SUM(K16:K37)</f>
        <v>337909.99900000001</v>
      </c>
      <c r="L38" s="20">
        <f>K38/$C38</f>
        <v>0.21495221300145437</v>
      </c>
      <c r="M38" s="53"/>
    </row>
    <row r="39" spans="1:16" ht="16.5" thickBot="1">
      <c r="A39" s="21"/>
      <c r="B39" s="22" t="s">
        <v>41</v>
      </c>
      <c r="C39" s="23"/>
      <c r="D39" s="24"/>
      <c r="E39" s="27">
        <f>E38</f>
        <v>210644.511</v>
      </c>
      <c r="F39" s="25">
        <f>E39/$C38</f>
        <v>0.13399575014073256</v>
      </c>
      <c r="G39" s="129">
        <f>E39+G38</f>
        <v>654421.15100000007</v>
      </c>
      <c r="H39" s="25">
        <f>G39/$C38</f>
        <v>0.4162921341738956</v>
      </c>
      <c r="I39" s="129">
        <f>G39+I38</f>
        <v>1234113.821</v>
      </c>
      <c r="J39" s="25">
        <f>I39/$C38</f>
        <v>0.78504778699854549</v>
      </c>
      <c r="K39" s="129">
        <f>I39+K38</f>
        <v>1572023.82</v>
      </c>
      <c r="L39" s="25">
        <f>+J39+L38</f>
        <v>0.99999999999999989</v>
      </c>
      <c r="M39" s="36"/>
    </row>
    <row r="40" spans="1:16" ht="6" customHeight="1" thickBot="1">
      <c r="A40" s="135"/>
      <c r="B40" s="46"/>
      <c r="C40" s="46"/>
      <c r="D40" s="46"/>
      <c r="E40" s="46"/>
      <c r="F40" s="46"/>
      <c r="G40" s="46"/>
      <c r="H40" s="46"/>
      <c r="I40" s="46"/>
      <c r="J40" s="46"/>
      <c r="K40" s="46"/>
      <c r="L40" s="46"/>
      <c r="M40" s="136"/>
    </row>
    <row r="41" spans="1:16" ht="49.5" customHeight="1" thickBot="1">
      <c r="A41" s="137"/>
      <c r="B41" s="1988" t="s">
        <v>46</v>
      </c>
      <c r="C41" s="1988"/>
      <c r="D41" s="2001" t="s">
        <v>182</v>
      </c>
      <c r="E41" s="2002"/>
      <c r="F41" s="2002"/>
      <c r="G41" s="2002"/>
      <c r="H41" s="2002"/>
      <c r="I41" s="2002"/>
      <c r="J41" s="2002"/>
      <c r="K41" s="2002"/>
      <c r="L41" s="2002"/>
      <c r="M41" s="2003"/>
      <c r="N41" s="133"/>
      <c r="O41" s="133"/>
      <c r="P41" s="133"/>
    </row>
  </sheetData>
  <mergeCells count="18">
    <mergeCell ref="K14:L14"/>
    <mergeCell ref="G14:H14"/>
    <mergeCell ref="B41:C41"/>
    <mergeCell ref="A12:M12"/>
    <mergeCell ref="A13:A15"/>
    <mergeCell ref="B13:B15"/>
    <mergeCell ref="C13:D14"/>
    <mergeCell ref="E13:M13"/>
    <mergeCell ref="E14:F14"/>
    <mergeCell ref="D41:M41"/>
    <mergeCell ref="I14:J14"/>
    <mergeCell ref="B7:F7"/>
    <mergeCell ref="B8:F8"/>
    <mergeCell ref="B10:F10"/>
    <mergeCell ref="B9:F9"/>
    <mergeCell ref="C2:K2"/>
    <mergeCell ref="C3:K3"/>
    <mergeCell ref="C4:K4"/>
  </mergeCells>
  <printOptions horizontalCentered="1" verticalCentered="1"/>
  <pageMargins left="0.78740157480314965" right="0.59055118110236227" top="1.1811023622047245" bottom="0.98425196850393704" header="0.31496062992125984" footer="0.31496062992125984"/>
  <pageSetup paperSize="9" scale="55" orientation="landscape" r:id="rId1"/>
  <ignoredErrors>
    <ignoredError sqref="D16 D36:D37 D32:D33 D24:D31 D17:D21 D22:D23 D34:D35"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7"/>
  <sheetViews>
    <sheetView topLeftCell="A10" workbookViewId="0">
      <selection activeCell="E86" sqref="E86"/>
    </sheetView>
  </sheetViews>
  <sheetFormatPr defaultRowHeight="15"/>
  <cols>
    <col min="1" max="1" width="109.85546875" customWidth="1"/>
    <col min="2" max="2" width="11.5703125" customWidth="1"/>
    <col min="3" max="3" width="11.140625" customWidth="1"/>
  </cols>
  <sheetData>
    <row r="1" spans="1:3" ht="27" thickBot="1">
      <c r="A1" s="2351" t="s">
        <v>2195</v>
      </c>
      <c r="B1" s="2352"/>
      <c r="C1" s="2353"/>
    </row>
    <row r="2" spans="1:3" ht="18" thickBot="1">
      <c r="A2" s="2346" t="s">
        <v>720</v>
      </c>
      <c r="B2" s="2347"/>
      <c r="C2" s="2348"/>
    </row>
    <row r="3" spans="1:3" ht="18" thickBot="1">
      <c r="A3" s="2349" t="s">
        <v>721</v>
      </c>
      <c r="B3" s="2350"/>
      <c r="C3" s="684" t="s">
        <v>203</v>
      </c>
    </row>
    <row r="4" spans="1:3">
      <c r="A4" s="1540" t="s">
        <v>722</v>
      </c>
      <c r="B4" s="685">
        <f>11.34+19</f>
        <v>30.34</v>
      </c>
      <c r="C4" s="686" t="s">
        <v>723</v>
      </c>
    </row>
    <row r="5" spans="1:3" ht="38.25" customHeight="1">
      <c r="A5" s="687" t="s">
        <v>724</v>
      </c>
      <c r="B5" s="1541">
        <f>(B22/0.15)*0.55</f>
        <v>35.493333333333332</v>
      </c>
      <c r="C5" s="688" t="s">
        <v>723</v>
      </c>
    </row>
    <row r="6" spans="1:3">
      <c r="A6" s="1540" t="s">
        <v>1642</v>
      </c>
      <c r="B6" s="685"/>
      <c r="C6" s="688" t="s">
        <v>723</v>
      </c>
    </row>
    <row r="7" spans="1:3" ht="25.5" customHeight="1">
      <c r="A7" s="1540" t="s">
        <v>725</v>
      </c>
      <c r="B7" s="685">
        <f>B5-B22</f>
        <v>25.813333333333333</v>
      </c>
      <c r="C7" s="688" t="s">
        <v>723</v>
      </c>
    </row>
    <row r="8" spans="1:3">
      <c r="A8" s="1540" t="s">
        <v>726</v>
      </c>
      <c r="B8" s="685">
        <f>B14+B22</f>
        <v>40.019999999999996</v>
      </c>
      <c r="C8" s="688" t="s">
        <v>723</v>
      </c>
    </row>
    <row r="9" spans="1:3">
      <c r="A9" s="687" t="s">
        <v>727</v>
      </c>
      <c r="B9" s="1541">
        <f>2.57*28</f>
        <v>71.959999999999994</v>
      </c>
      <c r="C9" s="688" t="s">
        <v>728</v>
      </c>
    </row>
    <row r="10" spans="1:3" ht="30">
      <c r="A10" s="687" t="s">
        <v>729</v>
      </c>
      <c r="B10" s="1541">
        <f>B5/0.5</f>
        <v>70.986666666666665</v>
      </c>
      <c r="C10" s="688" t="s">
        <v>728</v>
      </c>
    </row>
    <row r="11" spans="1:3" ht="15.75" thickBot="1">
      <c r="A11" s="1542" t="s">
        <v>730</v>
      </c>
      <c r="B11" s="689">
        <f>161*(0.4+0.15+0.4)</f>
        <v>152.95000000000002</v>
      </c>
      <c r="C11" s="690" t="s">
        <v>728</v>
      </c>
    </row>
    <row r="12" spans="1:3" ht="18" thickBot="1">
      <c r="A12" s="2349" t="s">
        <v>731</v>
      </c>
      <c r="B12" s="2350"/>
      <c r="C12" s="691" t="s">
        <v>203</v>
      </c>
    </row>
    <row r="13" spans="1:3">
      <c r="A13" s="1543" t="s">
        <v>732</v>
      </c>
      <c r="B13" s="685">
        <f>8.88+4.44</f>
        <v>13.32</v>
      </c>
      <c r="C13" s="686" t="s">
        <v>728</v>
      </c>
    </row>
    <row r="14" spans="1:3">
      <c r="A14" s="692" t="s">
        <v>733</v>
      </c>
      <c r="B14" s="1541">
        <f>11.34+19</f>
        <v>30.34</v>
      </c>
      <c r="C14" s="688" t="s">
        <v>723</v>
      </c>
    </row>
    <row r="15" spans="1:3">
      <c r="A15" s="692" t="s">
        <v>734</v>
      </c>
      <c r="B15" s="1541">
        <f>B14</f>
        <v>30.34</v>
      </c>
      <c r="C15" s="688" t="s">
        <v>723</v>
      </c>
    </row>
    <row r="16" spans="1:3">
      <c r="A16" s="692" t="s">
        <v>735</v>
      </c>
      <c r="B16" s="1541">
        <f>33.6+48.2</f>
        <v>81.800000000000011</v>
      </c>
      <c r="C16" s="688" t="s">
        <v>736</v>
      </c>
    </row>
    <row r="17" spans="1:3">
      <c r="A17" s="692" t="s">
        <v>737</v>
      </c>
      <c r="B17" s="1541">
        <f>127.1+158.2</f>
        <v>285.29999999999995</v>
      </c>
      <c r="C17" s="688" t="s">
        <v>736</v>
      </c>
    </row>
    <row r="18" spans="1:3">
      <c r="A18" s="692" t="s">
        <v>738</v>
      </c>
      <c r="B18" s="1541">
        <f>4.2</f>
        <v>4.2</v>
      </c>
      <c r="C18" s="693" t="s">
        <v>736</v>
      </c>
    </row>
    <row r="19" spans="1:3" ht="15.75" thickBot="1">
      <c r="A19" s="694" t="s">
        <v>739</v>
      </c>
      <c r="B19" s="689">
        <f>45.8+64.9</f>
        <v>110.7</v>
      </c>
      <c r="C19" s="690" t="s">
        <v>736</v>
      </c>
    </row>
    <row r="20" spans="1:3" ht="18" thickBot="1">
      <c r="A20" s="2349" t="s">
        <v>218</v>
      </c>
      <c r="B20" s="2350"/>
      <c r="C20" s="691" t="s">
        <v>203</v>
      </c>
    </row>
    <row r="21" spans="1:3">
      <c r="A21" s="1544" t="s">
        <v>740</v>
      </c>
      <c r="B21" s="685">
        <f>112.11+41.11</f>
        <v>153.22</v>
      </c>
      <c r="C21" s="686" t="s">
        <v>728</v>
      </c>
    </row>
    <row r="22" spans="1:3">
      <c r="A22" s="1545" t="s">
        <v>733</v>
      </c>
      <c r="B22" s="1541">
        <f>7.08+2.6</f>
        <v>9.68</v>
      </c>
      <c r="C22" s="688" t="s">
        <v>723</v>
      </c>
    </row>
    <row r="23" spans="1:3">
      <c r="A23" s="1545" t="s">
        <v>734</v>
      </c>
      <c r="B23" s="1541">
        <f>B22</f>
        <v>9.68</v>
      </c>
      <c r="C23" s="688" t="s">
        <v>723</v>
      </c>
    </row>
    <row r="24" spans="1:3">
      <c r="A24" s="1545" t="s">
        <v>735</v>
      </c>
      <c r="B24" s="1541">
        <f>74.3+27.5</f>
        <v>101.8</v>
      </c>
      <c r="C24" s="688" t="s">
        <v>736</v>
      </c>
    </row>
    <row r="25" spans="1:3">
      <c r="A25" s="1545" t="s">
        <v>741</v>
      </c>
      <c r="B25" s="1541">
        <f>19.4+13.7</f>
        <v>33.099999999999994</v>
      </c>
      <c r="C25" s="688" t="s">
        <v>736</v>
      </c>
    </row>
    <row r="26" spans="1:3">
      <c r="A26" s="1545" t="s">
        <v>737</v>
      </c>
      <c r="B26" s="1541">
        <f>271.1+97.6</f>
        <v>368.70000000000005</v>
      </c>
      <c r="C26" s="688" t="s">
        <v>736</v>
      </c>
    </row>
    <row r="27" spans="1:3" ht="15.75" thickBot="1">
      <c r="A27" s="1546" t="s">
        <v>738</v>
      </c>
      <c r="B27" s="689">
        <f>20</f>
        <v>20</v>
      </c>
      <c r="C27" s="690" t="s">
        <v>736</v>
      </c>
    </row>
    <row r="28" spans="1:3" ht="18" thickBot="1">
      <c r="A28" s="2349" t="s">
        <v>2196</v>
      </c>
      <c r="B28" s="2350"/>
      <c r="C28" s="695" t="s">
        <v>203</v>
      </c>
    </row>
    <row r="29" spans="1:3">
      <c r="A29" s="1545" t="s">
        <v>733</v>
      </c>
      <c r="B29" s="697">
        <v>10.45</v>
      </c>
      <c r="C29" s="688" t="s">
        <v>723</v>
      </c>
    </row>
    <row r="30" spans="1:3">
      <c r="A30" s="1545" t="s">
        <v>734</v>
      </c>
      <c r="B30" s="697">
        <f>B29</f>
        <v>10.45</v>
      </c>
      <c r="C30" s="688" t="s">
        <v>723</v>
      </c>
    </row>
    <row r="31" spans="1:3">
      <c r="A31" s="1545" t="s">
        <v>742</v>
      </c>
      <c r="B31" s="697">
        <v>97.83</v>
      </c>
      <c r="C31" s="688" t="s">
        <v>736</v>
      </c>
    </row>
    <row r="32" spans="1:3">
      <c r="A32" s="1545" t="s">
        <v>743</v>
      </c>
      <c r="B32" s="697">
        <v>160</v>
      </c>
      <c r="C32" s="688" t="s">
        <v>736</v>
      </c>
    </row>
    <row r="33" spans="1:3">
      <c r="A33" s="1545" t="s">
        <v>741</v>
      </c>
      <c r="B33" s="697">
        <v>73.03</v>
      </c>
      <c r="C33" s="688" t="s">
        <v>736</v>
      </c>
    </row>
    <row r="34" spans="1:3" ht="15.75" thickBot="1">
      <c r="A34" s="1545" t="s">
        <v>737</v>
      </c>
      <c r="B34" s="697">
        <v>11.8</v>
      </c>
      <c r="C34" s="688" t="s">
        <v>736</v>
      </c>
    </row>
    <row r="35" spans="1:3" ht="18" thickBot="1">
      <c r="A35" s="2349" t="s">
        <v>924</v>
      </c>
      <c r="B35" s="2350"/>
      <c r="C35" s="695" t="s">
        <v>203</v>
      </c>
    </row>
    <row r="36" spans="1:3">
      <c r="A36" s="1544" t="s">
        <v>740</v>
      </c>
      <c r="B36" s="696">
        <v>61.4</v>
      </c>
      <c r="C36" s="686" t="s">
        <v>728</v>
      </c>
    </row>
    <row r="37" spans="1:3">
      <c r="A37" s="1545" t="s">
        <v>733</v>
      </c>
      <c r="B37" s="697">
        <v>11.07</v>
      </c>
      <c r="C37" s="688" t="s">
        <v>723</v>
      </c>
    </row>
    <row r="38" spans="1:3">
      <c r="A38" s="1545" t="s">
        <v>734</v>
      </c>
      <c r="B38" s="697">
        <f>B37</f>
        <v>11.07</v>
      </c>
      <c r="C38" s="688" t="s">
        <v>723</v>
      </c>
    </row>
    <row r="39" spans="1:3">
      <c r="A39" s="1545" t="s">
        <v>742</v>
      </c>
      <c r="B39" s="697">
        <v>113.63</v>
      </c>
      <c r="C39" s="688" t="s">
        <v>736</v>
      </c>
    </row>
    <row r="40" spans="1:3">
      <c r="A40" s="1545" t="s">
        <v>743</v>
      </c>
      <c r="B40" s="697">
        <v>322</v>
      </c>
      <c r="C40" s="688" t="s">
        <v>736</v>
      </c>
    </row>
    <row r="41" spans="1:3">
      <c r="A41" s="1545" t="s">
        <v>741</v>
      </c>
      <c r="B41" s="697">
        <v>28.07</v>
      </c>
      <c r="C41" s="688" t="s">
        <v>736</v>
      </c>
    </row>
    <row r="42" spans="1:3">
      <c r="A42" s="1545" t="s">
        <v>737</v>
      </c>
      <c r="B42" s="697">
        <v>103.92</v>
      </c>
      <c r="C42" s="688" t="s">
        <v>736</v>
      </c>
    </row>
    <row r="43" spans="1:3" ht="15.75" thickBot="1">
      <c r="A43" s="1546" t="s">
        <v>738</v>
      </c>
      <c r="B43" s="1547">
        <f>114.3</f>
        <v>114.3</v>
      </c>
      <c r="C43" s="690" t="s">
        <v>736</v>
      </c>
    </row>
    <row r="44" spans="1:3" ht="18" thickBot="1">
      <c r="A44" s="2349" t="s">
        <v>230</v>
      </c>
      <c r="B44" s="2350"/>
      <c r="C44" s="695" t="s">
        <v>203</v>
      </c>
    </row>
    <row r="45" spans="1:3">
      <c r="A45" s="1544" t="s">
        <v>740</v>
      </c>
      <c r="B45" s="696">
        <f>60.56+64.84+68.17</f>
        <v>193.57</v>
      </c>
      <c r="C45" s="686" t="s">
        <v>728</v>
      </c>
    </row>
    <row r="46" spans="1:3">
      <c r="A46" s="1545" t="s">
        <v>733</v>
      </c>
      <c r="B46" s="697">
        <f>3.48+3.97+3.94</f>
        <v>11.39</v>
      </c>
      <c r="C46" s="688" t="s">
        <v>723</v>
      </c>
    </row>
    <row r="47" spans="1:3">
      <c r="A47" s="1545" t="s">
        <v>734</v>
      </c>
      <c r="B47" s="697">
        <f>B46</f>
        <v>11.39</v>
      </c>
      <c r="C47" s="688" t="s">
        <v>723</v>
      </c>
    </row>
    <row r="48" spans="1:3">
      <c r="A48" s="1545" t="s">
        <v>735</v>
      </c>
      <c r="B48" s="1541">
        <f>77.3+82.9+94.7</f>
        <v>254.89999999999998</v>
      </c>
      <c r="C48" s="688" t="s">
        <v>736</v>
      </c>
    </row>
    <row r="49" spans="1:3">
      <c r="A49" s="1545" t="s">
        <v>737</v>
      </c>
      <c r="B49" s="1541">
        <f>161.7+176.4+236</f>
        <v>574.1</v>
      </c>
      <c r="C49" s="693" t="s">
        <v>736</v>
      </c>
    </row>
    <row r="50" spans="1:3">
      <c r="A50" s="1545" t="s">
        <v>738</v>
      </c>
      <c r="B50" s="1541">
        <f>11.1</f>
        <v>11.1</v>
      </c>
      <c r="C50" s="693" t="s">
        <v>736</v>
      </c>
    </row>
    <row r="51" spans="1:3" ht="15.75" thickBot="1">
      <c r="A51" s="1546" t="s">
        <v>739</v>
      </c>
      <c r="B51" s="689">
        <f>136.6+246.2+45.5</f>
        <v>428.29999999999995</v>
      </c>
      <c r="C51" s="690" t="s">
        <v>736</v>
      </c>
    </row>
    <row r="52" spans="1:3" ht="18" thickBot="1">
      <c r="A52" s="2349" t="s">
        <v>744</v>
      </c>
      <c r="B52" s="2350"/>
      <c r="C52" s="691" t="s">
        <v>203</v>
      </c>
    </row>
    <row r="53" spans="1:3">
      <c r="A53" s="1544" t="s">
        <v>740</v>
      </c>
      <c r="B53" s="1548">
        <f>104.7+59.93</f>
        <v>164.63</v>
      </c>
      <c r="C53" s="686" t="s">
        <v>728</v>
      </c>
    </row>
    <row r="54" spans="1:3">
      <c r="A54" s="1545" t="s">
        <v>733</v>
      </c>
      <c r="B54" s="1548">
        <f>6.93+3.84</f>
        <v>10.77</v>
      </c>
      <c r="C54" s="688" t="s">
        <v>723</v>
      </c>
    </row>
    <row r="55" spans="1:3">
      <c r="A55" s="1545" t="s">
        <v>734</v>
      </c>
      <c r="B55" s="1548">
        <f>B54</f>
        <v>10.77</v>
      </c>
      <c r="C55" s="688" t="s">
        <v>723</v>
      </c>
    </row>
    <row r="56" spans="1:3">
      <c r="A56" s="1545" t="s">
        <v>735</v>
      </c>
      <c r="B56" s="1548">
        <f>81.4+56.5</f>
        <v>137.9</v>
      </c>
      <c r="C56" s="688" t="s">
        <v>736</v>
      </c>
    </row>
    <row r="57" spans="1:3">
      <c r="A57" s="1545" t="s">
        <v>743</v>
      </c>
      <c r="B57" s="1548">
        <f>84.8+46.7</f>
        <v>131.5</v>
      </c>
      <c r="C57" s="688" t="s">
        <v>736</v>
      </c>
    </row>
    <row r="58" spans="1:3">
      <c r="A58" s="1545" t="s">
        <v>741</v>
      </c>
      <c r="B58" s="1548">
        <f>36.5+18.3</f>
        <v>54.8</v>
      </c>
      <c r="C58" s="688" t="s">
        <v>736</v>
      </c>
    </row>
    <row r="59" spans="1:3">
      <c r="A59" s="1545" t="s">
        <v>737</v>
      </c>
      <c r="B59" s="1548">
        <f>215+114.4</f>
        <v>329.4</v>
      </c>
      <c r="C59" s="688" t="s">
        <v>736</v>
      </c>
    </row>
    <row r="60" spans="1:3">
      <c r="A60" s="1545" t="s">
        <v>738</v>
      </c>
      <c r="B60" s="1548">
        <v>21.5</v>
      </c>
      <c r="C60" s="688" t="s">
        <v>736</v>
      </c>
    </row>
    <row r="61" spans="1:3">
      <c r="A61" s="1545" t="s">
        <v>739</v>
      </c>
      <c r="B61" s="1548">
        <f>30.4+60</f>
        <v>90.4</v>
      </c>
      <c r="C61" s="688" t="s">
        <v>736</v>
      </c>
    </row>
    <row r="62" spans="1:3" ht="15.75" thickBot="1">
      <c r="A62" s="1546" t="s">
        <v>745</v>
      </c>
      <c r="B62" s="1549">
        <v>40.200000000000003</v>
      </c>
      <c r="C62" s="690" t="s">
        <v>736</v>
      </c>
    </row>
    <row r="63" spans="1:3" ht="18" thickBot="1">
      <c r="A63" s="2349" t="s">
        <v>746</v>
      </c>
      <c r="B63" s="2350"/>
      <c r="C63" s="691" t="s">
        <v>203</v>
      </c>
    </row>
    <row r="64" spans="1:3">
      <c r="A64" s="1544" t="s">
        <v>740</v>
      </c>
      <c r="B64" s="1548">
        <v>32.53</v>
      </c>
      <c r="C64" s="686" t="s">
        <v>728</v>
      </c>
    </row>
    <row r="65" spans="1:3">
      <c r="A65" s="1545" t="s">
        <v>733</v>
      </c>
      <c r="B65" s="1548">
        <v>1.88</v>
      </c>
      <c r="C65" s="688" t="s">
        <v>723</v>
      </c>
    </row>
    <row r="66" spans="1:3">
      <c r="A66" s="1545" t="s">
        <v>734</v>
      </c>
      <c r="B66" s="1548">
        <f>B65</f>
        <v>1.88</v>
      </c>
      <c r="C66" s="688" t="s">
        <v>723</v>
      </c>
    </row>
    <row r="67" spans="1:3">
      <c r="A67" s="1545" t="s">
        <v>735</v>
      </c>
      <c r="B67" s="1548">
        <v>34.1</v>
      </c>
      <c r="C67" s="688" t="s">
        <v>736</v>
      </c>
    </row>
    <row r="68" spans="1:3" ht="15.75" thickBot="1">
      <c r="A68" s="1546" t="s">
        <v>741</v>
      </c>
      <c r="B68" s="1549">
        <v>73.7</v>
      </c>
      <c r="C68" s="690" t="s">
        <v>736</v>
      </c>
    </row>
    <row r="69" spans="1:3" ht="18" thickBot="1">
      <c r="A69" s="2349" t="s">
        <v>747</v>
      </c>
      <c r="B69" s="2350"/>
      <c r="C69" s="691" t="s">
        <v>203</v>
      </c>
    </row>
    <row r="70" spans="1:3">
      <c r="A70" s="1550" t="s">
        <v>748</v>
      </c>
      <c r="B70" s="696">
        <v>173.89</v>
      </c>
      <c r="C70" s="686" t="s">
        <v>736</v>
      </c>
    </row>
    <row r="71" spans="1:3">
      <c r="A71" s="1545" t="s">
        <v>749</v>
      </c>
      <c r="B71" s="697">
        <v>19.53</v>
      </c>
      <c r="C71" s="688" t="s">
        <v>728</v>
      </c>
    </row>
    <row r="72" spans="1:3">
      <c r="A72" s="692" t="s">
        <v>750</v>
      </c>
      <c r="B72" s="697">
        <v>5.05</v>
      </c>
      <c r="C72" s="688" t="s">
        <v>736</v>
      </c>
    </row>
    <row r="73" spans="1:3" ht="15.75" thickBot="1">
      <c r="A73" s="694" t="s">
        <v>751</v>
      </c>
      <c r="B73" s="1547">
        <v>11.66</v>
      </c>
      <c r="C73" s="690" t="s">
        <v>736</v>
      </c>
    </row>
    <row r="74" spans="1:3" ht="39" thickBot="1">
      <c r="A74" s="1127" t="s">
        <v>1682</v>
      </c>
      <c r="B74" s="2354" t="s">
        <v>1680</v>
      </c>
      <c r="C74" s="2355"/>
    </row>
    <row r="75" spans="1:3">
      <c r="A75" s="717"/>
      <c r="B75" s="372"/>
      <c r="C75" s="1129"/>
    </row>
    <row r="76" spans="1:3" ht="15.75" thickBot="1">
      <c r="A76" s="1552"/>
      <c r="B76" s="1553"/>
      <c r="C76" s="1554"/>
    </row>
    <row r="77" spans="1:3" ht="18" thickBot="1">
      <c r="A77" s="2346" t="s">
        <v>326</v>
      </c>
      <c r="B77" s="2347"/>
      <c r="C77" s="2348"/>
    </row>
    <row r="78" spans="1:3" ht="46.5" customHeight="1" thickBot="1">
      <c r="A78" s="2349" t="s">
        <v>323</v>
      </c>
      <c r="B78" s="2350"/>
      <c r="C78" s="698" t="s">
        <v>203</v>
      </c>
    </row>
    <row r="79" spans="1:3">
      <c r="A79" s="1550" t="s">
        <v>748</v>
      </c>
      <c r="B79" s="696">
        <f>2587.3+43.54</f>
        <v>2630.84</v>
      </c>
      <c r="C79" s="686" t="s">
        <v>736</v>
      </c>
    </row>
    <row r="80" spans="1:3">
      <c r="A80" s="1545" t="s">
        <v>749</v>
      </c>
      <c r="B80" s="1551">
        <v>159.83699999999999</v>
      </c>
      <c r="C80" s="688" t="s">
        <v>728</v>
      </c>
    </row>
    <row r="81" spans="1:3">
      <c r="A81" s="692" t="s">
        <v>750</v>
      </c>
      <c r="B81" s="697">
        <f>15.45+14.57</f>
        <v>30.02</v>
      </c>
      <c r="C81" s="688" t="s">
        <v>736</v>
      </c>
    </row>
    <row r="82" spans="1:3" ht="15.75" thickBot="1">
      <c r="A82" s="694" t="s">
        <v>751</v>
      </c>
      <c r="B82" s="1547">
        <v>64.319999999999993</v>
      </c>
      <c r="C82" s="690" t="s">
        <v>736</v>
      </c>
    </row>
    <row r="83" spans="1:3">
      <c r="A83" s="1145" t="s">
        <v>749</v>
      </c>
      <c r="B83" s="1148">
        <v>159.83699999999999</v>
      </c>
      <c r="C83" s="1144" t="s">
        <v>728</v>
      </c>
    </row>
    <row r="84" spans="1:3">
      <c r="A84" s="1145" t="s">
        <v>750</v>
      </c>
      <c r="B84" s="1143">
        <f>15.45+14.57</f>
        <v>30.02</v>
      </c>
      <c r="C84" s="1144" t="s">
        <v>736</v>
      </c>
    </row>
    <row r="85" spans="1:3" ht="15.75" thickBot="1">
      <c r="A85" s="1147" t="s">
        <v>751</v>
      </c>
      <c r="B85" s="1149">
        <v>64.319999999999993</v>
      </c>
      <c r="C85" s="1146" t="s">
        <v>736</v>
      </c>
    </row>
    <row r="86" spans="1:3" ht="41.25" customHeight="1" thickBot="1">
      <c r="A86" s="1030" t="s">
        <v>1681</v>
      </c>
      <c r="B86" s="2344" t="s">
        <v>1680</v>
      </c>
      <c r="C86" s="2345"/>
    </row>
    <row r="87" spans="1:3">
      <c r="A87" s="321"/>
      <c r="B87" s="321"/>
      <c r="C87" s="321"/>
    </row>
  </sheetData>
  <mergeCells count="15">
    <mergeCell ref="B86:C86"/>
    <mergeCell ref="A77:C77"/>
    <mergeCell ref="A78:B78"/>
    <mergeCell ref="A28:B28"/>
    <mergeCell ref="A1:C1"/>
    <mergeCell ref="A2:C2"/>
    <mergeCell ref="A3:B3"/>
    <mergeCell ref="A12:B12"/>
    <mergeCell ref="A20:B20"/>
    <mergeCell ref="B74:C74"/>
    <mergeCell ref="A35:B35"/>
    <mergeCell ref="A44:B44"/>
    <mergeCell ref="A52:B52"/>
    <mergeCell ref="A63:B63"/>
    <mergeCell ref="A69:B69"/>
  </mergeCells>
  <pageMargins left="0.78740157480314965" right="0.59055118110236227" top="0.78740157480314965" bottom="0.78740157480314965" header="0.31496062992125984" footer="0.31496062992125984"/>
  <pageSetup paperSize="9" scale="7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2"/>
  <sheetViews>
    <sheetView topLeftCell="A34" workbookViewId="0">
      <selection activeCell="C48" sqref="C48"/>
    </sheetView>
  </sheetViews>
  <sheetFormatPr defaultRowHeight="15"/>
  <cols>
    <col min="2" max="2" width="98.28515625" customWidth="1"/>
    <col min="3" max="3" width="12" customWidth="1"/>
    <col min="5" max="5" width="11.5703125" customWidth="1"/>
  </cols>
  <sheetData>
    <row r="1" spans="1:3" ht="18.75" thickBot="1">
      <c r="A1" s="2356" t="s">
        <v>676</v>
      </c>
      <c r="B1" s="2357"/>
      <c r="C1" s="2358"/>
    </row>
    <row r="2" spans="1:3" ht="16.5" thickBot="1">
      <c r="A2" s="2359" t="s">
        <v>2200</v>
      </c>
      <c r="B2" s="2360"/>
      <c r="C2" s="2361"/>
    </row>
    <row r="3" spans="1:3">
      <c r="A3" s="1555">
        <v>1</v>
      </c>
      <c r="B3" s="1630" t="s">
        <v>285</v>
      </c>
      <c r="C3" s="1636" t="s">
        <v>286</v>
      </c>
    </row>
    <row r="4" spans="1:3">
      <c r="A4" s="1555">
        <v>2</v>
      </c>
      <c r="B4" s="1630" t="s">
        <v>287</v>
      </c>
      <c r="C4" s="1631" t="s">
        <v>1643</v>
      </c>
    </row>
    <row r="5" spans="1:3">
      <c r="A5" s="1555">
        <v>3</v>
      </c>
      <c r="B5" s="1630" t="s">
        <v>289</v>
      </c>
      <c r="C5" s="1631" t="s">
        <v>677</v>
      </c>
    </row>
    <row r="6" spans="1:3">
      <c r="A6" s="1555">
        <v>4</v>
      </c>
      <c r="B6" s="1630" t="s">
        <v>678</v>
      </c>
      <c r="C6" s="1631" t="s">
        <v>679</v>
      </c>
    </row>
    <row r="7" spans="1:3">
      <c r="A7" s="1555">
        <v>5</v>
      </c>
      <c r="B7" s="1630" t="s">
        <v>2201</v>
      </c>
      <c r="C7" s="1631" t="s">
        <v>291</v>
      </c>
    </row>
    <row r="8" spans="1:3">
      <c r="A8" s="1555">
        <v>6</v>
      </c>
      <c r="B8" s="1630" t="s">
        <v>680</v>
      </c>
      <c r="C8" s="1631" t="s">
        <v>291</v>
      </c>
    </row>
    <row r="9" spans="1:3">
      <c r="A9" s="1555">
        <v>7</v>
      </c>
      <c r="B9" s="1630" t="s">
        <v>681</v>
      </c>
      <c r="C9" s="1631" t="s">
        <v>290</v>
      </c>
    </row>
    <row r="10" spans="1:3">
      <c r="A10" s="1555">
        <v>8</v>
      </c>
      <c r="B10" s="1630" t="s">
        <v>682</v>
      </c>
      <c r="C10" s="1631" t="s">
        <v>291</v>
      </c>
    </row>
    <row r="11" spans="1:3">
      <c r="A11" s="1555">
        <v>9</v>
      </c>
      <c r="B11" s="1630" t="s">
        <v>683</v>
      </c>
      <c r="C11" s="1631" t="s">
        <v>292</v>
      </c>
    </row>
    <row r="12" spans="1:3">
      <c r="A12" s="1555">
        <v>10</v>
      </c>
      <c r="B12" s="1630" t="s">
        <v>685</v>
      </c>
      <c r="C12" s="1631" t="s">
        <v>1644</v>
      </c>
    </row>
    <row r="13" spans="1:3">
      <c r="A13" s="1555">
        <v>11</v>
      </c>
      <c r="B13" s="1627" t="s">
        <v>2202</v>
      </c>
      <c r="C13" s="1628" t="s">
        <v>2203</v>
      </c>
    </row>
    <row r="14" spans="1:3">
      <c r="A14" s="1555">
        <v>12</v>
      </c>
      <c r="B14" s="1627" t="s">
        <v>2204</v>
      </c>
      <c r="C14" s="1628" t="s">
        <v>2203</v>
      </c>
    </row>
    <row r="15" spans="1:3">
      <c r="A15" s="1555">
        <v>13</v>
      </c>
      <c r="B15" s="1630" t="s">
        <v>2205</v>
      </c>
      <c r="C15" s="1631" t="s">
        <v>1645</v>
      </c>
    </row>
    <row r="16" spans="1:3">
      <c r="A16" s="1555">
        <v>14</v>
      </c>
      <c r="B16" s="1630" t="s">
        <v>2206</v>
      </c>
      <c r="C16" s="1631" t="s">
        <v>1646</v>
      </c>
    </row>
    <row r="17" spans="1:5">
      <c r="A17" s="1555">
        <v>15</v>
      </c>
      <c r="B17" s="1630" t="s">
        <v>2207</v>
      </c>
      <c r="C17" s="1631" t="s">
        <v>2208</v>
      </c>
    </row>
    <row r="18" spans="1:5">
      <c r="A18" s="1555">
        <v>16</v>
      </c>
      <c r="B18" s="1630" t="s">
        <v>2209</v>
      </c>
      <c r="C18" s="1631" t="s">
        <v>2210</v>
      </c>
    </row>
    <row r="19" spans="1:5">
      <c r="A19" s="1555">
        <v>17</v>
      </c>
      <c r="B19" s="1630" t="s">
        <v>2211</v>
      </c>
      <c r="C19" s="1631" t="s">
        <v>1647</v>
      </c>
    </row>
    <row r="20" spans="1:5">
      <c r="A20" s="1555">
        <v>18</v>
      </c>
      <c r="B20" s="1630" t="s">
        <v>1648</v>
      </c>
      <c r="C20" s="1631" t="s">
        <v>290</v>
      </c>
    </row>
    <row r="21" spans="1:5">
      <c r="A21" s="1555">
        <v>19</v>
      </c>
      <c r="B21" s="1630" t="s">
        <v>1649</v>
      </c>
      <c r="C21" s="1631" t="s">
        <v>684</v>
      </c>
    </row>
    <row r="22" spans="1:5">
      <c r="A22" s="1555">
        <v>20</v>
      </c>
      <c r="B22" s="1630" t="s">
        <v>2212</v>
      </c>
      <c r="C22" s="1635" t="s">
        <v>293</v>
      </c>
      <c r="E22" t="s">
        <v>2454</v>
      </c>
    </row>
    <row r="23" spans="1:5">
      <c r="A23" s="1555">
        <v>21</v>
      </c>
      <c r="B23" s="1630" t="s">
        <v>1650</v>
      </c>
      <c r="C23" s="1635" t="s">
        <v>296</v>
      </c>
    </row>
    <row r="24" spans="1:5">
      <c r="A24" s="1555">
        <v>22</v>
      </c>
      <c r="B24" s="1630" t="s">
        <v>1651</v>
      </c>
      <c r="C24" s="1635" t="s">
        <v>290</v>
      </c>
    </row>
    <row r="25" spans="1:5">
      <c r="A25" s="1555">
        <v>23</v>
      </c>
      <c r="B25" s="1630" t="s">
        <v>1652</v>
      </c>
      <c r="C25" s="1631" t="s">
        <v>291</v>
      </c>
    </row>
    <row r="26" spans="1:5">
      <c r="A26" s="1555">
        <v>24</v>
      </c>
      <c r="B26" s="1630" t="s">
        <v>1653</v>
      </c>
      <c r="C26" s="1631" t="s">
        <v>291</v>
      </c>
    </row>
    <row r="27" spans="1:5">
      <c r="A27" s="1555">
        <v>25</v>
      </c>
      <c r="B27" s="1630" t="s">
        <v>2213</v>
      </c>
      <c r="C27" s="1631" t="s">
        <v>686</v>
      </c>
    </row>
    <row r="28" spans="1:5">
      <c r="A28" s="1555">
        <v>26</v>
      </c>
      <c r="B28" s="1630" t="s">
        <v>2214</v>
      </c>
      <c r="C28" s="1631" t="s">
        <v>290</v>
      </c>
    </row>
    <row r="29" spans="1:5">
      <c r="A29" s="1555">
        <v>27</v>
      </c>
      <c r="B29" s="1630" t="s">
        <v>2215</v>
      </c>
      <c r="C29" s="1631" t="s">
        <v>687</v>
      </c>
    </row>
    <row r="30" spans="1:5">
      <c r="A30" s="1555">
        <v>28</v>
      </c>
      <c r="B30" s="1630" t="s">
        <v>2216</v>
      </c>
      <c r="C30" s="1631" t="s">
        <v>290</v>
      </c>
    </row>
    <row r="31" spans="1:5">
      <c r="A31" s="1555">
        <v>29</v>
      </c>
      <c r="B31" s="1630" t="s">
        <v>688</v>
      </c>
      <c r="C31" s="1631" t="s">
        <v>291</v>
      </c>
    </row>
    <row r="32" spans="1:5">
      <c r="A32" s="1555">
        <v>30</v>
      </c>
      <c r="B32" s="1630" t="s">
        <v>689</v>
      </c>
      <c r="C32" s="1631" t="s">
        <v>684</v>
      </c>
    </row>
    <row r="33" spans="1:5">
      <c r="A33" s="1555">
        <v>31</v>
      </c>
      <c r="B33" s="1630" t="s">
        <v>690</v>
      </c>
      <c r="C33" s="1631" t="s">
        <v>291</v>
      </c>
    </row>
    <row r="34" spans="1:5">
      <c r="A34" s="1555">
        <v>32</v>
      </c>
      <c r="B34" s="1630" t="s">
        <v>2217</v>
      </c>
      <c r="C34" s="1631" t="s">
        <v>290</v>
      </c>
    </row>
    <row r="35" spans="1:5">
      <c r="A35" s="1555">
        <v>33</v>
      </c>
      <c r="B35" s="1630" t="s">
        <v>2218</v>
      </c>
      <c r="C35" s="1631" t="s">
        <v>684</v>
      </c>
    </row>
    <row r="36" spans="1:5">
      <c r="A36" s="1555">
        <v>34</v>
      </c>
      <c r="B36" s="1630" t="s">
        <v>691</v>
      </c>
      <c r="C36" s="1631" t="s">
        <v>292</v>
      </c>
    </row>
    <row r="37" spans="1:5">
      <c r="A37" s="1555">
        <v>35</v>
      </c>
      <c r="B37" s="1630" t="s">
        <v>1654</v>
      </c>
      <c r="C37" s="1631" t="s">
        <v>291</v>
      </c>
    </row>
    <row r="38" spans="1:5">
      <c r="A38" s="1555">
        <v>36</v>
      </c>
      <c r="B38" s="1630" t="s">
        <v>1655</v>
      </c>
      <c r="C38" s="1631" t="s">
        <v>291</v>
      </c>
    </row>
    <row r="39" spans="1:5">
      <c r="A39" s="1555">
        <v>37</v>
      </c>
      <c r="B39" s="1630" t="s">
        <v>2219</v>
      </c>
      <c r="C39" s="1631" t="s">
        <v>288</v>
      </c>
    </row>
    <row r="40" spans="1:5">
      <c r="A40" s="1555">
        <v>38</v>
      </c>
      <c r="B40" s="1630" t="s">
        <v>692</v>
      </c>
      <c r="C40" s="1631" t="s">
        <v>292</v>
      </c>
    </row>
    <row r="41" spans="1:5">
      <c r="A41" s="1555">
        <v>39</v>
      </c>
      <c r="B41" s="1630" t="s">
        <v>1656</v>
      </c>
      <c r="C41" s="1631" t="s">
        <v>684</v>
      </c>
    </row>
    <row r="42" spans="1:5">
      <c r="A42" s="1555">
        <v>40</v>
      </c>
      <c r="B42" s="1630" t="s">
        <v>2220</v>
      </c>
      <c r="C42" s="1631" t="s">
        <v>291</v>
      </c>
    </row>
    <row r="43" spans="1:5">
      <c r="A43" s="1555">
        <v>41</v>
      </c>
      <c r="B43" s="1630" t="s">
        <v>294</v>
      </c>
      <c r="C43" s="1631" t="s">
        <v>292</v>
      </c>
    </row>
    <row r="44" spans="1:5">
      <c r="A44" s="1555">
        <v>42</v>
      </c>
      <c r="B44" s="1630" t="s">
        <v>253</v>
      </c>
      <c r="C44" s="1631" t="s">
        <v>291</v>
      </c>
    </row>
    <row r="45" spans="1:5">
      <c r="A45" s="1555">
        <v>43</v>
      </c>
      <c r="B45" s="1630" t="s">
        <v>2407</v>
      </c>
      <c r="C45" s="1631" t="s">
        <v>1657</v>
      </c>
    </row>
    <row r="46" spans="1:5">
      <c r="A46" s="1555">
        <v>44</v>
      </c>
      <c r="B46" s="1630" t="s">
        <v>2408</v>
      </c>
      <c r="C46" s="1631" t="s">
        <v>693</v>
      </c>
    </row>
    <row r="47" spans="1:5">
      <c r="A47" s="1555">
        <v>45</v>
      </c>
      <c r="B47" s="1630" t="s">
        <v>2221</v>
      </c>
      <c r="C47" s="1631" t="s">
        <v>694</v>
      </c>
      <c r="E47" s="1657" t="s">
        <v>694</v>
      </c>
    </row>
    <row r="48" spans="1:5">
      <c r="A48" s="1555">
        <v>46</v>
      </c>
      <c r="B48" s="1630" t="s">
        <v>2222</v>
      </c>
      <c r="C48" s="1631" t="s">
        <v>1658</v>
      </c>
      <c r="E48" s="1657" t="s">
        <v>2455</v>
      </c>
    </row>
    <row r="49" spans="1:6">
      <c r="A49" s="1555">
        <v>47</v>
      </c>
      <c r="B49" s="1630" t="s">
        <v>2223</v>
      </c>
      <c r="C49" s="1631" t="s">
        <v>695</v>
      </c>
      <c r="E49" s="1657" t="s">
        <v>695</v>
      </c>
    </row>
    <row r="50" spans="1:6">
      <c r="A50" s="1555">
        <v>48</v>
      </c>
      <c r="B50" s="1630" t="s">
        <v>2224</v>
      </c>
      <c r="C50" s="1631" t="s">
        <v>2225</v>
      </c>
      <c r="E50" s="1657" t="s">
        <v>2456</v>
      </c>
    </row>
    <row r="51" spans="1:6">
      <c r="A51" s="1555">
        <v>49</v>
      </c>
      <c r="B51" s="1630" t="s">
        <v>2226</v>
      </c>
      <c r="C51" s="1631" t="s">
        <v>1644</v>
      </c>
      <c r="E51" s="1657" t="s">
        <v>2457</v>
      </c>
    </row>
    <row r="52" spans="1:6">
      <c r="A52" s="1555">
        <v>50</v>
      </c>
      <c r="B52" s="1630" t="s">
        <v>2227</v>
      </c>
      <c r="C52" s="1631" t="s">
        <v>1645</v>
      </c>
      <c r="E52" s="1658" t="s">
        <v>2458</v>
      </c>
    </row>
    <row r="53" spans="1:6">
      <c r="A53" s="1555">
        <v>51</v>
      </c>
      <c r="B53" s="1630" t="s">
        <v>2228</v>
      </c>
      <c r="C53" s="1628" t="s">
        <v>291</v>
      </c>
    </row>
    <row r="54" spans="1:6">
      <c r="A54" s="1555">
        <v>52</v>
      </c>
      <c r="B54" s="1630" t="s">
        <v>696</v>
      </c>
      <c r="C54" s="1631" t="s">
        <v>679</v>
      </c>
    </row>
    <row r="55" spans="1:6">
      <c r="A55" s="1555">
        <v>53</v>
      </c>
      <c r="B55" s="1630" t="s">
        <v>697</v>
      </c>
      <c r="C55" s="1631" t="s">
        <v>684</v>
      </c>
    </row>
    <row r="56" spans="1:6">
      <c r="A56" s="1555">
        <v>54</v>
      </c>
      <c r="B56" s="1630" t="s">
        <v>698</v>
      </c>
      <c r="C56" s="1631" t="s">
        <v>684</v>
      </c>
    </row>
    <row r="57" spans="1:6">
      <c r="A57" s="1555">
        <v>55</v>
      </c>
      <c r="B57" s="1630" t="s">
        <v>2229</v>
      </c>
      <c r="C57" s="1631" t="s">
        <v>700</v>
      </c>
    </row>
    <row r="58" spans="1:6">
      <c r="A58" s="1555">
        <v>56</v>
      </c>
      <c r="B58" s="1630" t="s">
        <v>2230</v>
      </c>
      <c r="C58" s="1631" t="s">
        <v>291</v>
      </c>
      <c r="E58" s="2365" t="s">
        <v>2406</v>
      </c>
      <c r="F58" s="2365"/>
    </row>
    <row r="59" spans="1:6" ht="15.75" thickBot="1">
      <c r="A59" s="1557">
        <v>57</v>
      </c>
      <c r="B59" s="1632" t="s">
        <v>2231</v>
      </c>
      <c r="C59" s="1633" t="s">
        <v>291</v>
      </c>
    </row>
    <row r="60" spans="1:6" ht="16.5" thickBot="1">
      <c r="A60" s="2362" t="s">
        <v>701</v>
      </c>
      <c r="B60" s="2363"/>
      <c r="C60" s="2364"/>
    </row>
    <row r="61" spans="1:6">
      <c r="A61" s="1559">
        <v>1</v>
      </c>
      <c r="B61" s="1637" t="s">
        <v>702</v>
      </c>
      <c r="C61" s="1638" t="s">
        <v>296</v>
      </c>
    </row>
    <row r="62" spans="1:6">
      <c r="A62" s="1559">
        <v>2</v>
      </c>
      <c r="B62" s="1637" t="s">
        <v>2232</v>
      </c>
      <c r="C62" s="1638" t="s">
        <v>291</v>
      </c>
    </row>
    <row r="63" spans="1:6">
      <c r="A63" s="1559">
        <v>3</v>
      </c>
      <c r="B63" s="1637" t="s">
        <v>251</v>
      </c>
      <c r="C63" s="1638" t="s">
        <v>699</v>
      </c>
    </row>
    <row r="64" spans="1:6">
      <c r="A64" s="1559">
        <v>4</v>
      </c>
      <c r="B64" s="1637" t="s">
        <v>2233</v>
      </c>
      <c r="C64" s="1638" t="s">
        <v>699</v>
      </c>
    </row>
    <row r="65" spans="1:3">
      <c r="A65" s="1559">
        <v>5</v>
      </c>
      <c r="B65" s="1637" t="s">
        <v>2234</v>
      </c>
      <c r="C65" s="1638" t="s">
        <v>2235</v>
      </c>
    </row>
    <row r="66" spans="1:3">
      <c r="A66" s="1559">
        <v>6</v>
      </c>
      <c r="B66" s="1637" t="s">
        <v>703</v>
      </c>
      <c r="C66" s="1638" t="s">
        <v>291</v>
      </c>
    </row>
    <row r="67" spans="1:3">
      <c r="A67" s="1559">
        <v>7</v>
      </c>
      <c r="B67" s="1637" t="s">
        <v>704</v>
      </c>
      <c r="C67" s="1638" t="s">
        <v>699</v>
      </c>
    </row>
    <row r="68" spans="1:3">
      <c r="A68" s="1559">
        <v>8</v>
      </c>
      <c r="B68" s="1637" t="s">
        <v>2236</v>
      </c>
      <c r="C68" s="1638" t="s">
        <v>291</v>
      </c>
    </row>
    <row r="69" spans="1:3">
      <c r="A69" s="1559">
        <v>9</v>
      </c>
      <c r="B69" s="1637" t="s">
        <v>1659</v>
      </c>
      <c r="C69" s="1638" t="s">
        <v>291</v>
      </c>
    </row>
    <row r="70" spans="1:3">
      <c r="A70" s="1559">
        <v>10</v>
      </c>
      <c r="B70" s="1637" t="s">
        <v>705</v>
      </c>
      <c r="C70" s="1638" t="s">
        <v>291</v>
      </c>
    </row>
    <row r="71" spans="1:3">
      <c r="A71" s="1559">
        <v>11</v>
      </c>
      <c r="B71" s="1637" t="s">
        <v>706</v>
      </c>
      <c r="C71" s="1638" t="s">
        <v>291</v>
      </c>
    </row>
    <row r="72" spans="1:3">
      <c r="A72" s="1559">
        <v>12</v>
      </c>
      <c r="B72" s="1637" t="s">
        <v>1660</v>
      </c>
      <c r="C72" s="1638" t="s">
        <v>291</v>
      </c>
    </row>
    <row r="73" spans="1:3">
      <c r="A73" s="1559">
        <v>13</v>
      </c>
      <c r="B73" s="1637" t="s">
        <v>252</v>
      </c>
      <c r="C73" s="1638" t="s">
        <v>684</v>
      </c>
    </row>
    <row r="74" spans="1:3">
      <c r="A74" s="1559">
        <v>14</v>
      </c>
      <c r="B74" s="1637" t="s">
        <v>707</v>
      </c>
      <c r="C74" s="1638" t="s">
        <v>295</v>
      </c>
    </row>
    <row r="75" spans="1:3">
      <c r="A75" s="1559">
        <v>15</v>
      </c>
      <c r="B75" s="1637" t="s">
        <v>2202</v>
      </c>
      <c r="C75" s="1556" t="s">
        <v>709</v>
      </c>
    </row>
    <row r="76" spans="1:3">
      <c r="A76" s="1559">
        <v>16</v>
      </c>
      <c r="B76" s="1637" t="s">
        <v>2204</v>
      </c>
      <c r="C76" s="1556" t="s">
        <v>709</v>
      </c>
    </row>
    <row r="77" spans="1:3">
      <c r="A77" s="1559">
        <v>17</v>
      </c>
      <c r="B77" s="1637" t="s">
        <v>2237</v>
      </c>
      <c r="C77" s="1638" t="s">
        <v>2238</v>
      </c>
    </row>
    <row r="78" spans="1:3">
      <c r="A78" s="1559">
        <v>18</v>
      </c>
      <c r="B78" s="1637" t="s">
        <v>2239</v>
      </c>
      <c r="C78" s="1638" t="s">
        <v>1661</v>
      </c>
    </row>
    <row r="79" spans="1:3">
      <c r="A79" s="1559">
        <v>19</v>
      </c>
      <c r="B79" s="1637" t="s">
        <v>708</v>
      </c>
      <c r="C79" s="1638" t="s">
        <v>291</v>
      </c>
    </row>
    <row r="80" spans="1:3">
      <c r="A80" s="1559">
        <v>20</v>
      </c>
      <c r="B80" s="1637" t="s">
        <v>2240</v>
      </c>
      <c r="C80" s="1638" t="s">
        <v>291</v>
      </c>
    </row>
    <row r="81" spans="1:3">
      <c r="A81" s="1559">
        <v>21</v>
      </c>
      <c r="B81" s="1637" t="s">
        <v>1662</v>
      </c>
      <c r="C81" s="1638" t="s">
        <v>291</v>
      </c>
    </row>
    <row r="82" spans="1:3">
      <c r="A82" s="1559">
        <v>22</v>
      </c>
      <c r="B82" s="1637" t="s">
        <v>1663</v>
      </c>
      <c r="C82" s="1638" t="s">
        <v>290</v>
      </c>
    </row>
    <row r="83" spans="1:3">
      <c r="A83" s="1559">
        <v>23</v>
      </c>
      <c r="B83" s="1637" t="s">
        <v>2241</v>
      </c>
      <c r="C83" s="1638" t="s">
        <v>291</v>
      </c>
    </row>
    <row r="84" spans="1:3">
      <c r="A84" s="1559">
        <v>24</v>
      </c>
      <c r="B84" s="1637" t="s">
        <v>2242</v>
      </c>
      <c r="C84" s="1638" t="s">
        <v>290</v>
      </c>
    </row>
    <row r="85" spans="1:3">
      <c r="A85" s="1559">
        <v>25</v>
      </c>
      <c r="B85" s="1637" t="s">
        <v>2243</v>
      </c>
      <c r="C85" s="1638" t="s">
        <v>295</v>
      </c>
    </row>
    <row r="86" spans="1:3">
      <c r="A86" s="1559">
        <v>26</v>
      </c>
      <c r="B86" s="1637" t="s">
        <v>2244</v>
      </c>
      <c r="C86" s="1638" t="s">
        <v>699</v>
      </c>
    </row>
    <row r="87" spans="1:3">
      <c r="A87" s="1559">
        <v>27</v>
      </c>
      <c r="B87" s="1637" t="s">
        <v>2410</v>
      </c>
      <c r="C87" s="1638" t="s">
        <v>709</v>
      </c>
    </row>
    <row r="88" spans="1:3">
      <c r="A88" s="1559">
        <v>28</v>
      </c>
      <c r="B88" s="1637" t="s">
        <v>2245</v>
      </c>
      <c r="C88" s="1638" t="s">
        <v>1664</v>
      </c>
    </row>
    <row r="89" spans="1:3">
      <c r="A89" s="1559">
        <v>29</v>
      </c>
      <c r="B89" s="1637" t="s">
        <v>2246</v>
      </c>
      <c r="C89" s="1638" t="s">
        <v>1665</v>
      </c>
    </row>
    <row r="90" spans="1:3">
      <c r="A90" s="1559">
        <v>30</v>
      </c>
      <c r="B90" s="1637" t="s">
        <v>2247</v>
      </c>
      <c r="C90" s="1638" t="s">
        <v>1666</v>
      </c>
    </row>
    <row r="91" spans="1:3">
      <c r="A91" s="1559">
        <v>31</v>
      </c>
      <c r="B91" s="1637" t="s">
        <v>2248</v>
      </c>
      <c r="C91" s="1638" t="s">
        <v>710</v>
      </c>
    </row>
    <row r="92" spans="1:3" ht="15.75" thickBot="1">
      <c r="A92" s="1560">
        <v>32</v>
      </c>
      <c r="B92" s="1639" t="s">
        <v>711</v>
      </c>
      <c r="C92" s="1640" t="s">
        <v>291</v>
      </c>
    </row>
    <row r="93" spans="1:3" ht="16.5" thickBot="1">
      <c r="A93" s="2359" t="s">
        <v>2249</v>
      </c>
      <c r="B93" s="2360"/>
      <c r="C93" s="2361"/>
    </row>
    <row r="94" spans="1:3">
      <c r="A94" s="1561">
        <v>1</v>
      </c>
      <c r="B94" s="1562" t="s">
        <v>2250</v>
      </c>
      <c r="C94" s="1556" t="s">
        <v>291</v>
      </c>
    </row>
    <row r="95" spans="1:3">
      <c r="A95" s="1561">
        <v>2</v>
      </c>
      <c r="B95" s="1562" t="s">
        <v>712</v>
      </c>
      <c r="C95" s="1556" t="s">
        <v>297</v>
      </c>
    </row>
    <row r="96" spans="1:3">
      <c r="A96" s="1561">
        <v>3</v>
      </c>
      <c r="B96" s="1562" t="s">
        <v>713</v>
      </c>
      <c r="C96" s="1556" t="s">
        <v>693</v>
      </c>
    </row>
    <row r="97" spans="1:3">
      <c r="A97" s="1561">
        <v>4</v>
      </c>
      <c r="B97" s="1562" t="s">
        <v>714</v>
      </c>
      <c r="C97" s="1556" t="s">
        <v>297</v>
      </c>
    </row>
    <row r="98" spans="1:3">
      <c r="A98" s="1561">
        <v>5</v>
      </c>
      <c r="B98" s="1562" t="s">
        <v>715</v>
      </c>
      <c r="C98" s="1556" t="s">
        <v>1667</v>
      </c>
    </row>
    <row r="99" spans="1:3">
      <c r="A99" s="1561">
        <v>6</v>
      </c>
      <c r="B99" s="1562" t="s">
        <v>716</v>
      </c>
      <c r="C99" s="1556" t="s">
        <v>2251</v>
      </c>
    </row>
    <row r="100" spans="1:3">
      <c r="A100" s="1561">
        <v>7</v>
      </c>
      <c r="B100" s="1562" t="s">
        <v>717</v>
      </c>
      <c r="C100" s="1556" t="s">
        <v>2252</v>
      </c>
    </row>
    <row r="101" spans="1:3" ht="15.75" thickBot="1">
      <c r="A101" s="1563">
        <v>8</v>
      </c>
      <c r="B101" s="1564" t="s">
        <v>718</v>
      </c>
      <c r="C101" s="1558" t="s">
        <v>719</v>
      </c>
    </row>
    <row r="102" spans="1:3" ht="39" thickBot="1">
      <c r="A102" s="1127"/>
      <c r="B102" s="1258" t="s">
        <v>1684</v>
      </c>
      <c r="C102" s="1130" t="s">
        <v>1683</v>
      </c>
    </row>
  </sheetData>
  <mergeCells count="5">
    <mergeCell ref="A1:C1"/>
    <mergeCell ref="A2:C2"/>
    <mergeCell ref="A60:C60"/>
    <mergeCell ref="A93:C93"/>
    <mergeCell ref="E58:F58"/>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2"/>
  <sheetViews>
    <sheetView topLeftCell="A1051" workbookViewId="0">
      <selection activeCell="E209" sqref="E209"/>
    </sheetView>
  </sheetViews>
  <sheetFormatPr defaultRowHeight="15"/>
  <cols>
    <col min="1" max="1" width="23.42578125" customWidth="1"/>
    <col min="2" max="2" width="23" customWidth="1"/>
    <col min="3" max="3" width="19.5703125" customWidth="1"/>
    <col min="4" max="4" width="21.85546875" customWidth="1"/>
    <col min="5" max="5" width="23.7109375" customWidth="1"/>
    <col min="6" max="6" width="21" customWidth="1"/>
    <col min="7" max="7" width="22" customWidth="1"/>
  </cols>
  <sheetData>
    <row r="1" spans="1:7">
      <c r="A1" s="2381" t="s">
        <v>127</v>
      </c>
      <c r="B1" s="2382"/>
      <c r="C1" s="2382"/>
      <c r="D1" s="2382"/>
      <c r="E1" s="2382"/>
      <c r="F1" s="2382"/>
      <c r="G1" s="2383"/>
    </row>
    <row r="2" spans="1:7">
      <c r="A2" s="2384" t="s">
        <v>298</v>
      </c>
      <c r="B2" s="2385"/>
      <c r="C2" s="2385"/>
      <c r="D2" s="2385"/>
      <c r="E2" s="2385"/>
      <c r="F2" s="2385"/>
      <c r="G2" s="2386"/>
    </row>
    <row r="3" spans="1:7">
      <c r="A3" s="2384" t="s">
        <v>284</v>
      </c>
      <c r="B3" s="2385"/>
      <c r="C3" s="2385"/>
      <c r="D3" s="2385"/>
      <c r="E3" s="2385"/>
      <c r="F3" s="2385"/>
      <c r="G3" s="2386"/>
    </row>
    <row r="4" spans="1:7">
      <c r="A4" s="1284"/>
      <c r="B4" s="1285"/>
      <c r="C4" s="1285"/>
      <c r="D4" s="1285"/>
      <c r="E4" s="1285"/>
      <c r="F4" s="1285"/>
      <c r="G4" s="1286"/>
    </row>
    <row r="5" spans="1:7">
      <c r="A5" s="1287" t="s">
        <v>299</v>
      </c>
      <c r="B5" s="2387" t="s">
        <v>611</v>
      </c>
      <c r="C5" s="2387"/>
      <c r="D5" s="2387"/>
      <c r="E5" s="2387"/>
      <c r="F5" s="2387"/>
      <c r="G5" s="1288"/>
    </row>
    <row r="6" spans="1:7">
      <c r="A6" s="1287" t="s">
        <v>300</v>
      </c>
      <c r="B6" s="2388"/>
      <c r="C6" s="2388"/>
      <c r="D6" s="2388"/>
      <c r="E6" s="2388"/>
      <c r="F6" s="1289"/>
      <c r="G6" s="1290"/>
    </row>
    <row r="7" spans="1:7">
      <c r="A7" s="1291" t="s">
        <v>301</v>
      </c>
      <c r="B7" s="1292" t="s">
        <v>2256</v>
      </c>
      <c r="C7" s="1292"/>
      <c r="D7" s="1292"/>
      <c r="E7" s="1292"/>
      <c r="F7" s="1293" t="s">
        <v>302</v>
      </c>
      <c r="G7" s="1294" t="s">
        <v>612</v>
      </c>
    </row>
    <row r="8" spans="1:7" ht="15.75" thickBot="1">
      <c r="A8" s="1295" t="s">
        <v>303</v>
      </c>
      <c r="B8" s="1296" t="s">
        <v>600</v>
      </c>
      <c r="C8" s="1296"/>
      <c r="D8" s="1296"/>
      <c r="E8" s="1296"/>
      <c r="F8" s="1297"/>
      <c r="G8" s="1298"/>
    </row>
    <row r="9" spans="1:7" ht="15.75" thickBot="1">
      <c r="A9" s="2389" t="s">
        <v>613</v>
      </c>
      <c r="B9" s="2390"/>
      <c r="C9" s="2390"/>
      <c r="D9" s="2390"/>
      <c r="E9" s="2390"/>
      <c r="F9" s="2390"/>
      <c r="G9" s="2391"/>
    </row>
    <row r="10" spans="1:7" ht="15.75" thickBot="1">
      <c r="A10" s="1299" t="s">
        <v>282</v>
      </c>
      <c r="B10" s="2366" t="s">
        <v>304</v>
      </c>
      <c r="C10" s="2367"/>
      <c r="D10" s="2367"/>
      <c r="E10" s="2367"/>
      <c r="F10" s="2367"/>
      <c r="G10" s="2368"/>
    </row>
    <row r="11" spans="1:7" ht="15.75" thickBot="1">
      <c r="A11" s="1300"/>
      <c r="B11" s="1301"/>
      <c r="C11" s="1301"/>
      <c r="D11" s="1301"/>
      <c r="E11" s="1301"/>
      <c r="F11" s="1301"/>
      <c r="G11" s="1302"/>
    </row>
    <row r="12" spans="1:7" ht="15.75" thickBot="1">
      <c r="A12" s="1299" t="s">
        <v>15</v>
      </c>
      <c r="B12" s="2366" t="s">
        <v>117</v>
      </c>
      <c r="C12" s="2367"/>
      <c r="D12" s="2367"/>
      <c r="E12" s="2367"/>
      <c r="F12" s="2367"/>
      <c r="G12" s="2368"/>
    </row>
    <row r="13" spans="1:7" ht="15.75" thickBot="1">
      <c r="A13" s="1303"/>
      <c r="B13" s="1304"/>
      <c r="C13" s="1304"/>
      <c r="D13" s="1304"/>
      <c r="E13" s="1304"/>
      <c r="F13" s="1304"/>
      <c r="G13" s="1305"/>
    </row>
    <row r="14" spans="1:7" ht="15.75" thickBot="1">
      <c r="A14" s="1299" t="s">
        <v>185</v>
      </c>
      <c r="B14" s="2366" t="s">
        <v>305</v>
      </c>
      <c r="C14" s="2367"/>
      <c r="D14" s="2367"/>
      <c r="E14" s="2367"/>
      <c r="F14" s="2367"/>
      <c r="G14" s="2368"/>
    </row>
    <row r="15" spans="1:7">
      <c r="A15" s="2369" t="s">
        <v>306</v>
      </c>
      <c r="B15" s="2370"/>
      <c r="C15" s="2370"/>
      <c r="D15" s="2370"/>
      <c r="E15" s="2370"/>
      <c r="F15" s="2370"/>
      <c r="G15" s="2371"/>
    </row>
    <row r="16" spans="1:7">
      <c r="A16" s="2372" t="s">
        <v>307</v>
      </c>
      <c r="B16" s="2373"/>
      <c r="C16" s="2373"/>
      <c r="D16" s="2373"/>
      <c r="E16" s="2373"/>
      <c r="F16" s="2373"/>
      <c r="G16" s="2374"/>
    </row>
    <row r="17" spans="1:7">
      <c r="A17" s="2375"/>
      <c r="B17" s="2376"/>
      <c r="C17" s="1306" t="s">
        <v>308</v>
      </c>
      <c r="D17" s="2377" t="s">
        <v>309</v>
      </c>
      <c r="E17" s="2377"/>
      <c r="F17" s="2377"/>
      <c r="G17" s="2378"/>
    </row>
    <row r="18" spans="1:7" ht="25.5" customHeight="1">
      <c r="A18" s="2375"/>
      <c r="B18" s="2376"/>
      <c r="C18" s="1307">
        <f>2.5*5</f>
        <v>12.5</v>
      </c>
      <c r="D18" s="2379" t="s">
        <v>614</v>
      </c>
      <c r="E18" s="2379"/>
      <c r="F18" s="2379"/>
      <c r="G18" s="2380"/>
    </row>
    <row r="19" spans="1:7" ht="15.75" thickBot="1">
      <c r="A19" s="2421" t="s">
        <v>310</v>
      </c>
      <c r="B19" s="2422"/>
      <c r="C19" s="1308">
        <f>SUM(C18:C18)</f>
        <v>12.5</v>
      </c>
      <c r="D19" s="2423"/>
      <c r="E19" s="2424"/>
      <c r="F19" s="2424"/>
      <c r="G19" s="2425"/>
    </row>
    <row r="20" spans="1:7" ht="15.75" thickBot="1">
      <c r="A20" s="1303"/>
      <c r="B20" s="1309"/>
      <c r="C20" s="1310"/>
      <c r="D20" s="1311"/>
      <c r="E20" s="1311"/>
      <c r="F20" s="1311"/>
      <c r="G20" s="1312"/>
    </row>
    <row r="21" spans="1:7" ht="15.75" thickBot="1">
      <c r="A21" s="1299" t="s">
        <v>186</v>
      </c>
      <c r="B21" s="2366" t="s">
        <v>615</v>
      </c>
      <c r="C21" s="2367"/>
      <c r="D21" s="2367"/>
      <c r="E21" s="2367"/>
      <c r="F21" s="2367"/>
      <c r="G21" s="2368"/>
    </row>
    <row r="22" spans="1:7">
      <c r="A22" s="2411" t="s">
        <v>306</v>
      </c>
      <c r="B22" s="2412"/>
      <c r="C22" s="2412"/>
      <c r="D22" s="2412"/>
      <c r="E22" s="2412"/>
      <c r="F22" s="2412"/>
      <c r="G22" s="2413"/>
    </row>
    <row r="23" spans="1:7">
      <c r="A23" s="2426" t="s">
        <v>616</v>
      </c>
      <c r="B23" s="2427"/>
      <c r="C23" s="2427"/>
      <c r="D23" s="2427"/>
      <c r="E23" s="2427"/>
      <c r="F23" s="2427"/>
      <c r="G23" s="2428"/>
    </row>
    <row r="24" spans="1:7">
      <c r="A24" s="1313" t="s">
        <v>321</v>
      </c>
      <c r="B24" s="1314" t="s">
        <v>617</v>
      </c>
      <c r="C24" s="1315" t="s">
        <v>330</v>
      </c>
      <c r="D24" s="1314" t="s">
        <v>313</v>
      </c>
      <c r="E24" s="2429" t="s">
        <v>309</v>
      </c>
      <c r="F24" s="2430"/>
      <c r="G24" s="2431"/>
    </row>
    <row r="25" spans="1:7">
      <c r="A25" s="1316"/>
      <c r="B25" s="1317"/>
      <c r="C25" s="1318"/>
      <c r="D25" s="1317"/>
      <c r="E25" s="2373" t="s">
        <v>618</v>
      </c>
      <c r="F25" s="2373"/>
      <c r="G25" s="2374"/>
    </row>
    <row r="26" spans="1:7" ht="15.75" thickBot="1">
      <c r="A26" s="2405" t="s">
        <v>310</v>
      </c>
      <c r="B26" s="2406"/>
      <c r="C26" s="2407"/>
      <c r="D26" s="1319">
        <f>D25</f>
        <v>0</v>
      </c>
      <c r="E26" s="1319"/>
      <c r="F26" s="1319"/>
      <c r="G26" s="1320"/>
    </row>
    <row r="27" spans="1:7" ht="15.75" thickBot="1">
      <c r="A27" s="1321"/>
      <c r="B27" s="1322"/>
      <c r="C27" s="1322"/>
      <c r="D27" s="1323"/>
      <c r="E27" s="1323"/>
      <c r="F27" s="1323"/>
      <c r="G27" s="1324"/>
    </row>
    <row r="28" spans="1:7" ht="15.75" thickBot="1">
      <c r="A28" s="1325" t="s">
        <v>187</v>
      </c>
      <c r="B28" s="2408" t="s">
        <v>619</v>
      </c>
      <c r="C28" s="2409"/>
      <c r="D28" s="2409"/>
      <c r="E28" s="2409"/>
      <c r="F28" s="2409"/>
      <c r="G28" s="2410"/>
    </row>
    <row r="29" spans="1:7">
      <c r="A29" s="2411" t="s">
        <v>306</v>
      </c>
      <c r="B29" s="2412"/>
      <c r="C29" s="2412"/>
      <c r="D29" s="2412"/>
      <c r="E29" s="2412"/>
      <c r="F29" s="2412"/>
      <c r="G29" s="2413"/>
    </row>
    <row r="30" spans="1:7">
      <c r="A30" s="2414" t="s">
        <v>616</v>
      </c>
      <c r="B30" s="2415"/>
      <c r="C30" s="2415"/>
      <c r="D30" s="2415"/>
      <c r="E30" s="2415"/>
      <c r="F30" s="2415"/>
      <c r="G30" s="2416"/>
    </row>
    <row r="31" spans="1:7">
      <c r="A31" s="1326" t="s">
        <v>311</v>
      </c>
      <c r="B31" s="2417" t="s">
        <v>312</v>
      </c>
      <c r="C31" s="2418"/>
      <c r="D31" s="1327" t="s">
        <v>313</v>
      </c>
      <c r="E31" s="2417" t="s">
        <v>309</v>
      </c>
      <c r="F31" s="2419"/>
      <c r="G31" s="2420"/>
    </row>
    <row r="32" spans="1:7">
      <c r="A32" s="1328" t="s">
        <v>620</v>
      </c>
      <c r="B32" s="2392" t="s">
        <v>621</v>
      </c>
      <c r="C32" s="2393"/>
      <c r="D32" s="1329">
        <f>4.25*3.2</f>
        <v>13.600000000000001</v>
      </c>
      <c r="E32" s="2394" t="s">
        <v>314</v>
      </c>
      <c r="F32" s="2395"/>
      <c r="G32" s="2396"/>
    </row>
    <row r="33" spans="1:7">
      <c r="A33" s="1330" t="s">
        <v>622</v>
      </c>
      <c r="B33" s="2403" t="s">
        <v>623</v>
      </c>
      <c r="C33" s="2404"/>
      <c r="D33" s="1331">
        <f>3*3</f>
        <v>9</v>
      </c>
      <c r="E33" s="2397"/>
      <c r="F33" s="2398"/>
      <c r="G33" s="2399"/>
    </row>
    <row r="34" spans="1:7">
      <c r="A34" s="1330" t="s">
        <v>624</v>
      </c>
      <c r="B34" s="2403" t="s">
        <v>625</v>
      </c>
      <c r="C34" s="2404"/>
      <c r="D34" s="1331">
        <f>(4.25*5.5)</f>
        <v>23.375</v>
      </c>
      <c r="E34" s="2397"/>
      <c r="F34" s="2398"/>
      <c r="G34" s="2399"/>
    </row>
    <row r="35" spans="1:7">
      <c r="A35" s="1330" t="s">
        <v>626</v>
      </c>
      <c r="B35" s="2403" t="s">
        <v>315</v>
      </c>
      <c r="C35" s="2404"/>
      <c r="D35" s="1331">
        <f>(4.25*5.5)</f>
        <v>23.375</v>
      </c>
      <c r="E35" s="2400"/>
      <c r="F35" s="2401"/>
      <c r="G35" s="2402"/>
    </row>
    <row r="36" spans="1:7" ht="15.75" thickBot="1">
      <c r="A36" s="1332"/>
      <c r="B36" s="1333"/>
      <c r="C36" s="1334" t="s">
        <v>310</v>
      </c>
      <c r="D36" s="1335">
        <f>SUM(D32:D35)</f>
        <v>69.349999999999994</v>
      </c>
      <c r="E36" s="1336"/>
      <c r="F36" s="1337"/>
      <c r="G36" s="1338"/>
    </row>
    <row r="37" spans="1:7" ht="15.75" thickBot="1">
      <c r="A37" s="1339"/>
      <c r="B37" s="1340"/>
      <c r="C37" s="1341"/>
      <c r="D37" s="1342"/>
      <c r="E37" s="1342"/>
      <c r="F37" s="1342"/>
      <c r="G37" s="1343"/>
    </row>
    <row r="38" spans="1:7" ht="15.75" thickBot="1">
      <c r="A38" s="1299" t="s">
        <v>188</v>
      </c>
      <c r="B38" s="2366" t="s">
        <v>316</v>
      </c>
      <c r="C38" s="2367"/>
      <c r="D38" s="2367"/>
      <c r="E38" s="2367"/>
      <c r="F38" s="2367"/>
      <c r="G38" s="2368"/>
    </row>
    <row r="39" spans="1:7">
      <c r="A39" s="2411" t="s">
        <v>306</v>
      </c>
      <c r="B39" s="2412"/>
      <c r="C39" s="2412"/>
      <c r="D39" s="2412"/>
      <c r="E39" s="2412"/>
      <c r="F39" s="2412"/>
      <c r="G39" s="2413"/>
    </row>
    <row r="40" spans="1:7" ht="15.75" thickBot="1">
      <c r="A40" s="2432" t="s">
        <v>317</v>
      </c>
      <c r="B40" s="2433"/>
      <c r="C40" s="2433"/>
      <c r="D40" s="2433"/>
      <c r="E40" s="2433"/>
      <c r="F40" s="2433"/>
      <c r="G40" s="2434"/>
    </row>
    <row r="41" spans="1:7" ht="15.75" thickBot="1">
      <c r="A41" s="1339"/>
      <c r="B41" s="1340"/>
      <c r="C41" s="1341"/>
      <c r="D41" s="1342"/>
      <c r="E41" s="1342"/>
      <c r="F41" s="1342"/>
      <c r="G41" s="1343"/>
    </row>
    <row r="42" spans="1:7" ht="15.75" thickBot="1">
      <c r="A42" s="1299" t="s">
        <v>189</v>
      </c>
      <c r="B42" s="2366" t="s">
        <v>318</v>
      </c>
      <c r="C42" s="2367"/>
      <c r="D42" s="2367"/>
      <c r="E42" s="2367"/>
      <c r="F42" s="2367"/>
      <c r="G42" s="2368"/>
    </row>
    <row r="43" spans="1:7">
      <c r="A43" s="2411" t="s">
        <v>306</v>
      </c>
      <c r="B43" s="2412"/>
      <c r="C43" s="2412"/>
      <c r="D43" s="2412"/>
      <c r="E43" s="2412"/>
      <c r="F43" s="2412"/>
      <c r="G43" s="2413"/>
    </row>
    <row r="44" spans="1:7" ht="15.75" thickBot="1">
      <c r="A44" s="2432" t="s">
        <v>317</v>
      </c>
      <c r="B44" s="2433"/>
      <c r="C44" s="2433"/>
      <c r="D44" s="2433"/>
      <c r="E44" s="2433"/>
      <c r="F44" s="2433"/>
      <c r="G44" s="2434"/>
    </row>
    <row r="45" spans="1:7" ht="15.75" thickBot="1">
      <c r="A45" s="1339"/>
      <c r="B45" s="1340"/>
      <c r="C45" s="1341"/>
      <c r="D45" s="1342"/>
      <c r="E45" s="1342"/>
      <c r="F45" s="1342"/>
      <c r="G45" s="1343"/>
    </row>
    <row r="46" spans="1:7" ht="15.75" thickBot="1">
      <c r="A46" s="1299" t="s">
        <v>190</v>
      </c>
      <c r="B46" s="2366" t="s">
        <v>210</v>
      </c>
      <c r="C46" s="2367"/>
      <c r="D46" s="2367"/>
      <c r="E46" s="2367"/>
      <c r="F46" s="2367"/>
      <c r="G46" s="2368"/>
    </row>
    <row r="47" spans="1:7">
      <c r="A47" s="2435" t="s">
        <v>306</v>
      </c>
      <c r="B47" s="2436"/>
      <c r="C47" s="2436"/>
      <c r="D47" s="2436"/>
      <c r="E47" s="2436"/>
      <c r="F47" s="2436"/>
      <c r="G47" s="2437"/>
    </row>
    <row r="48" spans="1:7">
      <c r="A48" s="2414" t="s">
        <v>616</v>
      </c>
      <c r="B48" s="2415"/>
      <c r="C48" s="2415"/>
      <c r="D48" s="2415"/>
      <c r="E48" s="2415"/>
      <c r="F48" s="2415"/>
      <c r="G48" s="2416"/>
    </row>
    <row r="49" spans="1:7">
      <c r="A49" s="1326" t="s">
        <v>321</v>
      </c>
      <c r="B49" s="2417" t="s">
        <v>617</v>
      </c>
      <c r="C49" s="2418"/>
      <c r="D49" s="1327" t="s">
        <v>313</v>
      </c>
      <c r="E49" s="2417" t="s">
        <v>309</v>
      </c>
      <c r="F49" s="2419"/>
      <c r="G49" s="2420"/>
    </row>
    <row r="50" spans="1:7">
      <c r="A50" s="1344"/>
      <c r="B50" s="2438"/>
      <c r="C50" s="2439"/>
      <c r="D50" s="1317"/>
      <c r="E50" s="2373" t="s">
        <v>1727</v>
      </c>
      <c r="F50" s="2373"/>
      <c r="G50" s="2374"/>
    </row>
    <row r="51" spans="1:7" ht="15.75" thickBot="1">
      <c r="A51" s="1345"/>
      <c r="B51" s="1346"/>
      <c r="C51" s="1346"/>
      <c r="D51" s="1346"/>
      <c r="E51" s="1346"/>
      <c r="F51" s="1346"/>
      <c r="G51" s="1347"/>
    </row>
    <row r="52" spans="1:7" ht="15.75" thickBot="1">
      <c r="A52" s="1299" t="s">
        <v>191</v>
      </c>
      <c r="B52" s="2366" t="s">
        <v>319</v>
      </c>
      <c r="C52" s="2367"/>
      <c r="D52" s="2367"/>
      <c r="E52" s="2367"/>
      <c r="F52" s="2367"/>
      <c r="G52" s="2368"/>
    </row>
    <row r="53" spans="1:7">
      <c r="A53" s="2411" t="s">
        <v>306</v>
      </c>
      <c r="B53" s="2412"/>
      <c r="C53" s="2412"/>
      <c r="D53" s="2412"/>
      <c r="E53" s="2412"/>
      <c r="F53" s="2412"/>
      <c r="G53" s="2413"/>
    </row>
    <row r="54" spans="1:7" ht="15.75" thickBot="1">
      <c r="A54" s="2432" t="s">
        <v>320</v>
      </c>
      <c r="B54" s="2433"/>
      <c r="C54" s="2433"/>
      <c r="D54" s="2433"/>
      <c r="E54" s="2433"/>
      <c r="F54" s="2433"/>
      <c r="G54" s="2434"/>
    </row>
    <row r="55" spans="1:7" ht="15.75" thickBot="1">
      <c r="A55" s="1348"/>
      <c r="B55" s="1349"/>
      <c r="C55" s="1341"/>
      <c r="D55" s="1342"/>
      <c r="E55" s="1342"/>
      <c r="F55" s="1342"/>
      <c r="G55" s="1343"/>
    </row>
    <row r="56" spans="1:7" ht="15.75" thickBot="1">
      <c r="A56" s="1299" t="s">
        <v>1728</v>
      </c>
      <c r="B56" s="2366" t="s">
        <v>1729</v>
      </c>
      <c r="C56" s="2367"/>
      <c r="D56" s="2367"/>
      <c r="E56" s="2367"/>
      <c r="F56" s="2367"/>
      <c r="G56" s="2368"/>
    </row>
    <row r="57" spans="1:7">
      <c r="A57" s="2411" t="s">
        <v>306</v>
      </c>
      <c r="B57" s="2412"/>
      <c r="C57" s="2412"/>
      <c r="D57" s="2412"/>
      <c r="E57" s="2412"/>
      <c r="F57" s="2412"/>
      <c r="G57" s="2413"/>
    </row>
    <row r="58" spans="1:7">
      <c r="A58" s="2372" t="s">
        <v>1730</v>
      </c>
      <c r="B58" s="2373"/>
      <c r="C58" s="2373"/>
      <c r="D58" s="2373"/>
      <c r="E58" s="2373"/>
      <c r="F58" s="2373"/>
      <c r="G58" s="2374"/>
    </row>
    <row r="59" spans="1:7">
      <c r="A59" s="1348"/>
      <c r="B59" s="1349"/>
      <c r="C59" s="1341"/>
      <c r="D59" s="1342"/>
      <c r="E59" s="1342"/>
      <c r="F59" s="1342"/>
      <c r="G59" s="1343"/>
    </row>
    <row r="60" spans="1:7">
      <c r="A60" s="1348"/>
      <c r="B60" s="1349"/>
      <c r="C60" s="1341"/>
      <c r="D60" s="1342"/>
      <c r="E60" s="1342"/>
      <c r="F60" s="1342"/>
      <c r="G60" s="1343"/>
    </row>
    <row r="61" spans="1:7">
      <c r="A61" s="1348"/>
      <c r="B61" s="1349"/>
      <c r="C61" s="1341"/>
      <c r="D61" s="1342"/>
      <c r="E61" s="1342"/>
      <c r="F61" s="1342"/>
      <c r="G61" s="1343"/>
    </row>
    <row r="62" spans="1:7">
      <c r="A62" s="1348"/>
      <c r="B62" s="1349"/>
      <c r="C62" s="1341"/>
      <c r="D62" s="1342"/>
      <c r="E62" s="1342"/>
      <c r="F62" s="1342"/>
      <c r="G62" s="1343"/>
    </row>
    <row r="63" spans="1:7">
      <c r="A63" s="1348"/>
      <c r="B63" s="1349"/>
      <c r="C63" s="1341"/>
      <c r="D63" s="1342"/>
      <c r="E63" s="1342"/>
      <c r="F63" s="1342"/>
      <c r="G63" s="1343"/>
    </row>
    <row r="64" spans="1:7">
      <c r="A64" s="1348"/>
      <c r="B64" s="1349"/>
      <c r="C64" s="1341"/>
      <c r="D64" s="1342"/>
      <c r="E64" s="1342"/>
      <c r="F64" s="1342"/>
      <c r="G64" s="1343"/>
    </row>
    <row r="65" spans="1:7">
      <c r="A65" s="1348"/>
      <c r="B65" s="1349"/>
      <c r="C65" s="1341"/>
      <c r="D65" s="1342"/>
      <c r="E65" s="1342"/>
      <c r="F65" s="1342"/>
      <c r="G65" s="1343"/>
    </row>
    <row r="66" spans="1:7">
      <c r="A66" s="1348"/>
      <c r="B66" s="1349"/>
      <c r="C66" s="1341"/>
      <c r="D66" s="1342"/>
      <c r="E66" s="1342"/>
      <c r="F66" s="1342"/>
      <c r="G66" s="1343"/>
    </row>
    <row r="67" spans="1:7">
      <c r="A67" s="1348"/>
      <c r="B67" s="1349"/>
      <c r="C67" s="1341"/>
      <c r="D67" s="1342"/>
      <c r="E67" s="1342"/>
      <c r="F67" s="1342"/>
      <c r="G67" s="1343"/>
    </row>
    <row r="68" spans="1:7">
      <c r="A68" s="1348"/>
      <c r="B68" s="1349"/>
      <c r="C68" s="1341"/>
      <c r="D68" s="1342"/>
      <c r="E68" s="2440" t="s">
        <v>1731</v>
      </c>
      <c r="F68" s="2440"/>
      <c r="G68" s="1343"/>
    </row>
    <row r="69" spans="1:7">
      <c r="A69" s="1313" t="s">
        <v>311</v>
      </c>
      <c r="B69" s="2429" t="s">
        <v>321</v>
      </c>
      <c r="C69" s="2448"/>
      <c r="D69" s="1314" t="s">
        <v>1732</v>
      </c>
      <c r="E69" s="2429" t="s">
        <v>309</v>
      </c>
      <c r="F69" s="2430"/>
      <c r="G69" s="2431"/>
    </row>
    <row r="70" spans="1:7" ht="24" customHeight="1">
      <c r="A70" s="1328" t="s">
        <v>1733</v>
      </c>
      <c r="B70" s="2392" t="s">
        <v>1734</v>
      </c>
      <c r="C70" s="2393"/>
      <c r="D70" s="1307">
        <f>17.25+7.8+7.5+8.75+9.65+1.35+4.15+5+3.35+2.35+3.65+1.45+4.65+1.35</f>
        <v>78.25</v>
      </c>
      <c r="E70" s="2394" t="s">
        <v>1735</v>
      </c>
      <c r="F70" s="2395"/>
      <c r="G70" s="2396"/>
    </row>
    <row r="71" spans="1:7" ht="15.75" thickBot="1">
      <c r="A71" s="1350"/>
      <c r="B71" s="1351"/>
      <c r="C71" s="1352" t="s">
        <v>310</v>
      </c>
      <c r="D71" s="1353">
        <f>ROUNDUP(D70,2)</f>
        <v>78.25</v>
      </c>
      <c r="E71" s="1354"/>
      <c r="F71" s="1355"/>
      <c r="G71" s="1356"/>
    </row>
    <row r="72" spans="1:7" ht="15.75" thickBot="1">
      <c r="A72" s="1357"/>
      <c r="B72" s="1358"/>
      <c r="C72" s="1359"/>
      <c r="D72" s="1360"/>
      <c r="E72" s="1361"/>
      <c r="F72" s="1361"/>
      <c r="G72" s="1362"/>
    </row>
    <row r="73" spans="1:7" ht="15.75" thickBot="1">
      <c r="A73" s="1299" t="s">
        <v>283</v>
      </c>
      <c r="B73" s="2366" t="s">
        <v>206</v>
      </c>
      <c r="C73" s="2367"/>
      <c r="D73" s="2367"/>
      <c r="E73" s="2367"/>
      <c r="F73" s="2367"/>
      <c r="G73" s="2368"/>
    </row>
    <row r="74" spans="1:7" ht="15.75" thickBot="1">
      <c r="A74" s="1363"/>
      <c r="B74" s="1349"/>
      <c r="C74" s="1341"/>
      <c r="D74" s="1364"/>
      <c r="E74" s="1365"/>
      <c r="F74" s="1365"/>
      <c r="G74" s="1366"/>
    </row>
    <row r="75" spans="1:7" ht="15.75" thickBot="1">
      <c r="A75" s="1299" t="s">
        <v>322</v>
      </c>
      <c r="B75" s="2366" t="s">
        <v>1736</v>
      </c>
      <c r="C75" s="2367"/>
      <c r="D75" s="2367"/>
      <c r="E75" s="2367"/>
      <c r="F75" s="2367"/>
      <c r="G75" s="2368"/>
    </row>
    <row r="76" spans="1:7" ht="15.75" thickBot="1">
      <c r="A76" s="1363"/>
      <c r="B76" s="1349"/>
      <c r="C76" s="1341"/>
      <c r="D76" s="1364"/>
      <c r="E76" s="1365"/>
      <c r="F76" s="1365"/>
      <c r="G76" s="1366"/>
    </row>
    <row r="77" spans="1:7" ht="15.75" thickBot="1">
      <c r="A77" s="1299" t="s">
        <v>1737</v>
      </c>
      <c r="B77" s="2366" t="s">
        <v>323</v>
      </c>
      <c r="C77" s="2367"/>
      <c r="D77" s="2367"/>
      <c r="E77" s="2367"/>
      <c r="F77" s="2367"/>
      <c r="G77" s="2368"/>
    </row>
    <row r="78" spans="1:7" ht="15.75" thickBot="1">
      <c r="A78" s="1363"/>
      <c r="B78" s="1349"/>
      <c r="C78" s="1341"/>
      <c r="D78" s="1364"/>
      <c r="E78" s="1365"/>
      <c r="F78" s="1365"/>
      <c r="G78" s="1366"/>
    </row>
    <row r="79" spans="1:7" ht="15.75" thickBot="1">
      <c r="A79" s="1299" t="s">
        <v>1738</v>
      </c>
      <c r="B79" s="2366" t="s">
        <v>1739</v>
      </c>
      <c r="C79" s="2367"/>
      <c r="D79" s="2367"/>
      <c r="E79" s="2367"/>
      <c r="F79" s="2367"/>
      <c r="G79" s="2368"/>
    </row>
    <row r="80" spans="1:7" ht="15.75" thickBot="1">
      <c r="A80" s="1363"/>
      <c r="B80" s="1349"/>
      <c r="C80" s="1341"/>
      <c r="D80" s="1364"/>
      <c r="E80" s="1365"/>
      <c r="F80" s="1365"/>
      <c r="G80" s="1366"/>
    </row>
    <row r="81" spans="1:7" ht="15.75" thickBot="1">
      <c r="A81" s="1299" t="s">
        <v>1740</v>
      </c>
      <c r="B81" s="2366" t="s">
        <v>1741</v>
      </c>
      <c r="C81" s="2367"/>
      <c r="D81" s="2367"/>
      <c r="E81" s="2367"/>
      <c r="F81" s="2367"/>
      <c r="G81" s="2368"/>
    </row>
    <row r="82" spans="1:7" ht="15.75" thickBot="1">
      <c r="A82" s="1299" t="s">
        <v>69</v>
      </c>
      <c r="B82" s="2366" t="s">
        <v>1742</v>
      </c>
      <c r="C82" s="2367"/>
      <c r="D82" s="2367"/>
      <c r="E82" s="2367"/>
      <c r="F82" s="2367"/>
      <c r="G82" s="2368"/>
    </row>
    <row r="83" spans="1:7">
      <c r="A83" s="2445"/>
      <c r="B83" s="2446"/>
      <c r="C83" s="2446"/>
      <c r="D83" s="2446"/>
      <c r="E83" s="2446"/>
      <c r="F83" s="2446"/>
      <c r="G83" s="2447"/>
    </row>
    <row r="84" spans="1:7">
      <c r="A84" s="1367"/>
      <c r="B84" s="1368"/>
      <c r="C84" s="1368"/>
      <c r="D84" s="1368"/>
      <c r="E84" s="1368"/>
      <c r="F84" s="1368"/>
      <c r="G84" s="1369"/>
    </row>
    <row r="85" spans="1:7">
      <c r="A85" s="1367"/>
      <c r="B85" s="1368"/>
      <c r="C85" s="1368"/>
      <c r="D85" s="1368"/>
      <c r="E85" s="1368"/>
      <c r="F85" s="1368"/>
      <c r="G85" s="1369"/>
    </row>
    <row r="86" spans="1:7">
      <c r="A86" s="1367"/>
      <c r="B86" s="1368"/>
      <c r="C86" s="1368"/>
      <c r="D86" s="1368"/>
      <c r="E86" s="1368"/>
      <c r="F86" s="1368"/>
      <c r="G86" s="1369"/>
    </row>
    <row r="87" spans="1:7">
      <c r="A87" s="1367"/>
      <c r="B87" s="1368"/>
      <c r="C87" s="1368"/>
      <c r="D87" s="1368"/>
      <c r="E87" s="1368"/>
      <c r="F87" s="1368"/>
      <c r="G87" s="1369"/>
    </row>
    <row r="88" spans="1:7">
      <c r="A88" s="1367"/>
      <c r="B88" s="1368"/>
      <c r="C88" s="1368"/>
      <c r="D88" s="1368"/>
      <c r="E88" s="1368"/>
      <c r="F88" s="1368"/>
      <c r="G88" s="1369"/>
    </row>
    <row r="89" spans="1:7">
      <c r="A89" s="1367"/>
      <c r="B89" s="1368"/>
      <c r="C89" s="1368"/>
      <c r="D89" s="1368"/>
      <c r="E89" s="1368"/>
      <c r="F89" s="1368"/>
      <c r="G89" s="1369"/>
    </row>
    <row r="90" spans="1:7">
      <c r="A90" s="1367"/>
      <c r="B90" s="1368"/>
      <c r="C90" s="1368"/>
      <c r="D90" s="1368"/>
      <c r="E90" s="1368"/>
      <c r="F90" s="1368"/>
      <c r="G90" s="1369"/>
    </row>
    <row r="91" spans="1:7">
      <c r="A91" s="1367"/>
      <c r="B91" s="1368"/>
      <c r="C91" s="1368"/>
      <c r="D91" s="1368"/>
      <c r="E91" s="1368"/>
      <c r="F91" s="1368"/>
      <c r="G91" s="1369"/>
    </row>
    <row r="92" spans="1:7">
      <c r="A92" s="1367"/>
      <c r="B92" s="1368"/>
      <c r="C92" s="1368"/>
      <c r="D92" s="1368"/>
      <c r="E92" s="1368"/>
      <c r="F92" s="1368"/>
      <c r="G92" s="1369"/>
    </row>
    <row r="93" spans="1:7">
      <c r="A93" s="1367"/>
      <c r="B93" s="1368"/>
      <c r="C93" s="1368"/>
      <c r="D93" s="1368"/>
      <c r="E93" s="1368"/>
      <c r="F93" s="1368"/>
      <c r="G93" s="1369"/>
    </row>
    <row r="94" spans="1:7">
      <c r="A94" s="1367"/>
      <c r="B94" s="1368"/>
      <c r="C94" s="1368"/>
      <c r="D94" s="1368"/>
      <c r="E94" s="2440" t="s">
        <v>1731</v>
      </c>
      <c r="F94" s="2440"/>
      <c r="G94" s="1369"/>
    </row>
    <row r="95" spans="1:7">
      <c r="A95" s="2441" t="s">
        <v>1743</v>
      </c>
      <c r="B95" s="2419"/>
      <c r="C95" s="2419"/>
      <c r="D95" s="2419"/>
      <c r="E95" s="2419"/>
      <c r="F95" s="2419"/>
      <c r="G95" s="2420"/>
    </row>
    <row r="96" spans="1:7">
      <c r="A96" s="1313" t="s">
        <v>321</v>
      </c>
      <c r="B96" s="1314" t="s">
        <v>321</v>
      </c>
      <c r="C96" s="1314" t="s">
        <v>1744</v>
      </c>
      <c r="D96" s="1314" t="s">
        <v>324</v>
      </c>
      <c r="E96" s="1314" t="s">
        <v>1745</v>
      </c>
      <c r="F96" s="1314" t="s">
        <v>1746</v>
      </c>
      <c r="G96" s="1370" t="s">
        <v>1747</v>
      </c>
    </row>
    <row r="97" spans="1:7">
      <c r="A97" s="2442" t="s">
        <v>1748</v>
      </c>
      <c r="B97" s="2443"/>
      <c r="C97" s="2443"/>
      <c r="D97" s="2443"/>
      <c r="E97" s="2443"/>
      <c r="F97" s="2443"/>
      <c r="G97" s="2444"/>
    </row>
    <row r="98" spans="1:7">
      <c r="A98" s="1371">
        <v>7.5</v>
      </c>
      <c r="B98" s="1307">
        <v>7.5</v>
      </c>
      <c r="C98" s="1307">
        <v>3</v>
      </c>
      <c r="D98" s="1307">
        <f>ROUNDUP(B98*C98,2)</f>
        <v>22.5</v>
      </c>
      <c r="E98" s="1372" t="s">
        <v>1749</v>
      </c>
      <c r="F98" s="1307">
        <f>1.6*2.1</f>
        <v>3.3600000000000003</v>
      </c>
      <c r="G98" s="1373">
        <f t="shared" ref="G98:G107" si="0">ROUNDUP(D98-F98,2)</f>
        <v>19.14</v>
      </c>
    </row>
    <row r="99" spans="1:7">
      <c r="A99" s="1371">
        <v>3.35</v>
      </c>
      <c r="B99" s="1307">
        <f>A99</f>
        <v>3.35</v>
      </c>
      <c r="C99" s="1307">
        <v>3</v>
      </c>
      <c r="D99" s="1307">
        <f>B99*C99</f>
        <v>10.050000000000001</v>
      </c>
      <c r="E99" s="1372" t="s">
        <v>1750</v>
      </c>
      <c r="F99" s="1307">
        <f>(0.8*2.1)</f>
        <v>1.6800000000000002</v>
      </c>
      <c r="G99" s="1373">
        <f t="shared" si="0"/>
        <v>8.3699999999999992</v>
      </c>
    </row>
    <row r="100" spans="1:7" ht="24">
      <c r="A100" s="1371">
        <v>17.25</v>
      </c>
      <c r="B100" s="1307">
        <v>17.25</v>
      </c>
      <c r="C100" s="1307">
        <v>3</v>
      </c>
      <c r="D100" s="1307">
        <f t="shared" ref="D100:D107" si="1">ROUNDUP(B100*C100,2)</f>
        <v>51.75</v>
      </c>
      <c r="E100" s="1372" t="s">
        <v>1751</v>
      </c>
      <c r="F100" s="1307">
        <f>(2.3*1.1*3)+(1.1*1*2)</f>
        <v>9.7899999999999991</v>
      </c>
      <c r="G100" s="1374">
        <f t="shared" si="0"/>
        <v>41.96</v>
      </c>
    </row>
    <row r="101" spans="1:7" ht="36">
      <c r="A101" s="1371">
        <v>19.600000000000001</v>
      </c>
      <c r="B101" s="1307">
        <v>19.600000000000001</v>
      </c>
      <c r="C101" s="1307">
        <v>3.2</v>
      </c>
      <c r="D101" s="1307">
        <f t="shared" si="1"/>
        <v>62.72</v>
      </c>
      <c r="E101" s="1372" t="s">
        <v>1752</v>
      </c>
      <c r="F101" s="1307">
        <f>(1*0.6*3)+(2.3*1.1*2)+(0.8*2.1)+(1.3*2.1)</f>
        <v>11.27</v>
      </c>
      <c r="G101" s="1373">
        <f t="shared" si="0"/>
        <v>51.45</v>
      </c>
    </row>
    <row r="102" spans="1:7">
      <c r="A102" s="1371">
        <v>5.8</v>
      </c>
      <c r="B102" s="1307">
        <v>5.8</v>
      </c>
      <c r="C102" s="1307">
        <v>3</v>
      </c>
      <c r="D102" s="1307">
        <f t="shared" si="1"/>
        <v>17.399999999999999</v>
      </c>
      <c r="E102" s="1372" t="s">
        <v>1753</v>
      </c>
      <c r="F102" s="1307">
        <f>2.2*1.1</f>
        <v>2.4200000000000004</v>
      </c>
      <c r="G102" s="1373">
        <f t="shared" si="0"/>
        <v>14.98</v>
      </c>
    </row>
    <row r="103" spans="1:7">
      <c r="A103" s="1371">
        <v>3.65</v>
      </c>
      <c r="B103" s="1307">
        <v>3.65</v>
      </c>
      <c r="C103" s="1307">
        <v>3</v>
      </c>
      <c r="D103" s="1307">
        <f t="shared" si="1"/>
        <v>10.95</v>
      </c>
      <c r="E103" s="1372" t="s">
        <v>1753</v>
      </c>
      <c r="F103" s="1307">
        <f>2.2*1.1</f>
        <v>2.4200000000000004</v>
      </c>
      <c r="G103" s="1373">
        <f t="shared" si="0"/>
        <v>8.5299999999999994</v>
      </c>
    </row>
    <row r="104" spans="1:7" ht="24">
      <c r="A104" s="1371">
        <v>4.1500000000000004</v>
      </c>
      <c r="B104" s="1307">
        <v>4.1500000000000004</v>
      </c>
      <c r="C104" s="1307">
        <v>3</v>
      </c>
      <c r="D104" s="1307">
        <f t="shared" si="1"/>
        <v>12.45</v>
      </c>
      <c r="E104" s="1372" t="s">
        <v>1754</v>
      </c>
      <c r="F104" s="1307">
        <f>(0.8*2.1)+(2.3*1.1)</f>
        <v>4.21</v>
      </c>
      <c r="G104" s="1373">
        <f t="shared" si="0"/>
        <v>8.24</v>
      </c>
    </row>
    <row r="105" spans="1:7">
      <c r="A105" s="1371">
        <v>5.8</v>
      </c>
      <c r="B105" s="1307">
        <v>5.8</v>
      </c>
      <c r="C105" s="1307">
        <v>3</v>
      </c>
      <c r="D105" s="1307">
        <f t="shared" si="1"/>
        <v>17.399999999999999</v>
      </c>
      <c r="E105" s="1372" t="s">
        <v>1755</v>
      </c>
      <c r="F105" s="1307">
        <f>2.2*1.1</f>
        <v>2.4200000000000004</v>
      </c>
      <c r="G105" s="1373">
        <f t="shared" si="0"/>
        <v>14.98</v>
      </c>
    </row>
    <row r="106" spans="1:7">
      <c r="A106" s="1371">
        <v>9.8000000000000007</v>
      </c>
      <c r="B106" s="1307">
        <v>9.8000000000000007</v>
      </c>
      <c r="C106" s="1307">
        <v>3</v>
      </c>
      <c r="D106" s="1307">
        <f t="shared" si="1"/>
        <v>29.4</v>
      </c>
      <c r="E106" s="1372" t="s">
        <v>1756</v>
      </c>
      <c r="F106" s="1307">
        <f>(0.6*1.1*6)</f>
        <v>3.96</v>
      </c>
      <c r="G106" s="1373">
        <f t="shared" si="0"/>
        <v>25.44</v>
      </c>
    </row>
    <row r="107" spans="1:7">
      <c r="A107" s="1371">
        <v>6.15</v>
      </c>
      <c r="B107" s="1307">
        <v>6.15</v>
      </c>
      <c r="C107" s="1307">
        <v>3</v>
      </c>
      <c r="D107" s="1307">
        <f t="shared" si="1"/>
        <v>18.45</v>
      </c>
      <c r="E107" s="1372" t="s">
        <v>1757</v>
      </c>
      <c r="F107" s="1307">
        <f>(0.8*2.1*4)</f>
        <v>6.7200000000000006</v>
      </c>
      <c r="G107" s="1373">
        <f t="shared" si="0"/>
        <v>11.73</v>
      </c>
    </row>
    <row r="108" spans="1:7">
      <c r="A108" s="2442" t="s">
        <v>1758</v>
      </c>
      <c r="B108" s="2443"/>
      <c r="C108" s="2443"/>
      <c r="D108" s="2443"/>
      <c r="E108" s="2443"/>
      <c r="F108" s="2443"/>
      <c r="G108" s="2444"/>
    </row>
    <row r="109" spans="1:7">
      <c r="A109" s="1328" t="s">
        <v>1759</v>
      </c>
      <c r="B109" s="1307">
        <f>1.35+1.354+(1.85*4)+1.95</f>
        <v>12.054</v>
      </c>
      <c r="C109" s="1307">
        <v>3</v>
      </c>
      <c r="D109" s="1307">
        <f>ROUNDUP(B109*C109,2)</f>
        <v>36.169999999999995</v>
      </c>
      <c r="E109" s="1307"/>
      <c r="F109" s="1307"/>
      <c r="G109" s="1373">
        <f>ROUNDUP(D109-F109,2)</f>
        <v>36.17</v>
      </c>
    </row>
    <row r="110" spans="1:7" ht="24">
      <c r="A110" s="1328" t="s">
        <v>1760</v>
      </c>
      <c r="B110" s="1307">
        <f>4.15+1.5+4.8+3.65+1.65+4.3+4</f>
        <v>24.05</v>
      </c>
      <c r="C110" s="1307">
        <v>1.22</v>
      </c>
      <c r="D110" s="1307">
        <f>B110*C110</f>
        <v>29.341000000000001</v>
      </c>
      <c r="E110" s="1307"/>
      <c r="F110" s="1307"/>
      <c r="G110" s="1373">
        <f>ROUNDUP(D110-F110,2)</f>
        <v>29.35</v>
      </c>
    </row>
    <row r="111" spans="1:7">
      <c r="A111" s="1375" t="s">
        <v>1761</v>
      </c>
      <c r="B111" s="1307">
        <v>3.55</v>
      </c>
      <c r="C111" s="1376">
        <v>1.22</v>
      </c>
      <c r="D111" s="1307">
        <f>B111*C111</f>
        <v>4.3309999999999995</v>
      </c>
      <c r="E111" s="1376"/>
      <c r="F111" s="1307"/>
      <c r="G111" s="1373">
        <f>ROUNDUP(D111-F111,2)</f>
        <v>4.34</v>
      </c>
    </row>
    <row r="112" spans="1:7">
      <c r="A112" s="2442" t="s">
        <v>1762</v>
      </c>
      <c r="B112" s="2443"/>
      <c r="C112" s="2443"/>
      <c r="D112" s="2443"/>
      <c r="E112" s="2443"/>
      <c r="F112" s="2443"/>
      <c r="G112" s="2444"/>
    </row>
    <row r="113" spans="1:7" ht="24">
      <c r="A113" s="1328" t="s">
        <v>1763</v>
      </c>
      <c r="B113" s="1307">
        <f>7.5+4+3.35+4+4.5+5+(3.85*4)+3.75</f>
        <v>47.5</v>
      </c>
      <c r="C113" s="1307">
        <v>3</v>
      </c>
      <c r="D113" s="1307">
        <f>ROUNDUP(B113*C113,2)</f>
        <v>142.5</v>
      </c>
      <c r="E113" s="1307"/>
      <c r="F113" s="1307"/>
      <c r="G113" s="1373">
        <f>ROUNDUP(D113-F113,2)</f>
        <v>142.5</v>
      </c>
    </row>
    <row r="114" spans="1:7">
      <c r="A114" s="1328" t="s">
        <v>1764</v>
      </c>
      <c r="B114" s="1307">
        <v>5.3</v>
      </c>
      <c r="C114" s="1307">
        <v>1.22</v>
      </c>
      <c r="D114" s="1307">
        <f>ROUNDUP(B114*C114,2)</f>
        <v>6.47</v>
      </c>
      <c r="E114" s="1307"/>
      <c r="F114" s="1307"/>
      <c r="G114" s="1373">
        <f>ROUNDUP(D114-F114,2)</f>
        <v>6.47</v>
      </c>
    </row>
    <row r="115" spans="1:7" ht="24">
      <c r="A115" s="1328" t="s">
        <v>1765</v>
      </c>
      <c r="B115" s="1307">
        <f>17.25+7.5+7.65</f>
        <v>32.4</v>
      </c>
      <c r="C115" s="1307">
        <v>1.22</v>
      </c>
      <c r="D115" s="1307">
        <f>ROUNDUP(B115*C115,2)</f>
        <v>39.53</v>
      </c>
      <c r="E115" s="1307"/>
      <c r="F115" s="1307"/>
      <c r="G115" s="1373">
        <f>ROUNDUP(D115-F115,2)</f>
        <v>39.53</v>
      </c>
    </row>
    <row r="116" spans="1:7" ht="24">
      <c r="A116" s="1328" t="s">
        <v>1766</v>
      </c>
      <c r="B116" s="1307">
        <f>4.6*2+(9.8)</f>
        <v>19</v>
      </c>
      <c r="C116" s="1307">
        <v>1.8</v>
      </c>
      <c r="D116" s="1307">
        <f>ROUNDUP(B116*C116,2)</f>
        <v>34.200000000000003</v>
      </c>
      <c r="E116" s="1307"/>
      <c r="F116" s="1307"/>
      <c r="G116" s="1373">
        <f>ROUNDUP(D116-F116,2)</f>
        <v>34.200000000000003</v>
      </c>
    </row>
    <row r="117" spans="1:7" ht="24">
      <c r="A117" s="1328" t="s">
        <v>1767</v>
      </c>
      <c r="B117" s="1307">
        <f>4*2+(9.8)</f>
        <v>17.8</v>
      </c>
      <c r="C117" s="1307">
        <v>2.2799999999999998</v>
      </c>
      <c r="D117" s="1307">
        <f>ROUNDUP(B117*C117,2)</f>
        <v>40.589999999999996</v>
      </c>
      <c r="E117" s="1307"/>
      <c r="F117" s="1307"/>
      <c r="G117" s="1373">
        <f>ROUNDUP(D117-F117,2)</f>
        <v>40.590000000000003</v>
      </c>
    </row>
    <row r="118" spans="1:7">
      <c r="A118" s="2442" t="s">
        <v>1768</v>
      </c>
      <c r="B118" s="2443"/>
      <c r="C118" s="2443"/>
      <c r="D118" s="2443"/>
      <c r="E118" s="2443"/>
      <c r="F118" s="2443"/>
      <c r="G118" s="2444"/>
    </row>
    <row r="119" spans="1:7">
      <c r="A119" s="1371">
        <v>2.2999999999999998</v>
      </c>
      <c r="B119" s="1307">
        <v>2.2999999999999998</v>
      </c>
      <c r="C119" s="1307">
        <v>3</v>
      </c>
      <c r="D119" s="1307">
        <f>ROUNDUP(B119*C119,2)</f>
        <v>6.9</v>
      </c>
      <c r="E119" s="1372" t="s">
        <v>1769</v>
      </c>
      <c r="F119" s="1307">
        <f>(1.2*1.1)</f>
        <v>1.32</v>
      </c>
      <c r="G119" s="1373">
        <f>ROUNDUP(D119-F119,2)</f>
        <v>5.58</v>
      </c>
    </row>
    <row r="120" spans="1:7">
      <c r="A120" s="1371">
        <v>1.95</v>
      </c>
      <c r="B120" s="1307">
        <v>1.95</v>
      </c>
      <c r="C120" s="1307">
        <v>3</v>
      </c>
      <c r="D120" s="1307">
        <f>B120*C120</f>
        <v>5.85</v>
      </c>
      <c r="E120" s="1372" t="s">
        <v>1770</v>
      </c>
      <c r="F120" s="1307">
        <f>(0.8*2.1)</f>
        <v>1.6800000000000002</v>
      </c>
      <c r="G120" s="1373">
        <f>ROUNDUP(D120-F120,2)</f>
        <v>4.17</v>
      </c>
    </row>
    <row r="121" spans="1:7">
      <c r="A121" s="1371">
        <v>1.35</v>
      </c>
      <c r="B121" s="1307">
        <v>1.35</v>
      </c>
      <c r="C121" s="1307">
        <v>3</v>
      </c>
      <c r="D121" s="1307">
        <f>ROUNDUP(B121*C121,2)</f>
        <v>4.05</v>
      </c>
      <c r="E121" s="1372" t="s">
        <v>1771</v>
      </c>
      <c r="F121" s="1307">
        <f>(0.8*2.1)</f>
        <v>1.6800000000000002</v>
      </c>
      <c r="G121" s="1373">
        <f>ROUNDUP(D121-F121,2)</f>
        <v>2.37</v>
      </c>
    </row>
    <row r="122" spans="1:7">
      <c r="A122" s="1371">
        <v>2.5</v>
      </c>
      <c r="B122" s="1307">
        <v>2.5</v>
      </c>
      <c r="C122" s="1307">
        <v>3</v>
      </c>
      <c r="D122" s="1307">
        <f>B122*C122</f>
        <v>7.5</v>
      </c>
      <c r="E122" s="1372" t="s">
        <v>1772</v>
      </c>
      <c r="F122" s="1307">
        <f>(1*2.1)</f>
        <v>2.1</v>
      </c>
      <c r="G122" s="1373">
        <f>ROUNDUP(D122-F122,2)</f>
        <v>5.4</v>
      </c>
    </row>
    <row r="123" spans="1:7">
      <c r="A123" s="2466" t="s">
        <v>309</v>
      </c>
      <c r="B123" s="2448"/>
      <c r="C123" s="2429" t="s">
        <v>1773</v>
      </c>
      <c r="D123" s="2430"/>
      <c r="E123" s="2430"/>
      <c r="F123" s="2430"/>
      <c r="G123" s="2431"/>
    </row>
    <row r="124" spans="1:7">
      <c r="A124" s="2467"/>
      <c r="B124" s="2468"/>
      <c r="C124" s="2472" t="s">
        <v>1748</v>
      </c>
      <c r="D124" s="2473"/>
      <c r="E124" s="2473"/>
      <c r="F124" s="2474"/>
      <c r="G124" s="1373"/>
    </row>
    <row r="125" spans="1:7">
      <c r="A125" s="2469"/>
      <c r="B125" s="2470"/>
      <c r="C125" s="2458" t="s">
        <v>310</v>
      </c>
      <c r="D125" s="2459"/>
      <c r="E125" s="2459"/>
      <c r="F125" s="2460"/>
      <c r="G125" s="1377">
        <f>G98+G99+G100+G101+G102+G103+G104+G105+G106+G107</f>
        <v>204.82</v>
      </c>
    </row>
    <row r="126" spans="1:7">
      <c r="A126" s="2469"/>
      <c r="B126" s="2470"/>
      <c r="C126" s="2472" t="s">
        <v>1758</v>
      </c>
      <c r="D126" s="2473"/>
      <c r="E126" s="2473"/>
      <c r="F126" s="2474"/>
      <c r="G126" s="1378"/>
    </row>
    <row r="127" spans="1:7">
      <c r="A127" s="2469"/>
      <c r="B127" s="2470"/>
      <c r="C127" s="2458" t="s">
        <v>310</v>
      </c>
      <c r="D127" s="2459"/>
      <c r="E127" s="2459"/>
      <c r="F127" s="2460"/>
      <c r="G127" s="1377">
        <f>G109+G110+G111</f>
        <v>69.860000000000014</v>
      </c>
    </row>
    <row r="128" spans="1:7">
      <c r="A128" s="2469"/>
      <c r="B128" s="2470"/>
      <c r="C128" s="2472" t="s">
        <v>1774</v>
      </c>
      <c r="D128" s="2473"/>
      <c r="E128" s="2473"/>
      <c r="F128" s="2474"/>
      <c r="G128" s="1379"/>
    </row>
    <row r="129" spans="1:7">
      <c r="A129" s="2469"/>
      <c r="B129" s="2470"/>
      <c r="C129" s="2458" t="s">
        <v>310</v>
      </c>
      <c r="D129" s="2459"/>
      <c r="E129" s="2459"/>
      <c r="F129" s="2460"/>
      <c r="G129" s="1377">
        <f>G113+G114+G115+G116+G117</f>
        <v>263.28999999999996</v>
      </c>
    </row>
    <row r="130" spans="1:7">
      <c r="A130" s="2469"/>
      <c r="B130" s="2470"/>
      <c r="C130" s="2472" t="s">
        <v>1775</v>
      </c>
      <c r="D130" s="2473"/>
      <c r="E130" s="2473"/>
      <c r="F130" s="2474"/>
      <c r="G130" s="1373"/>
    </row>
    <row r="131" spans="1:7">
      <c r="A131" s="2369"/>
      <c r="B131" s="2471"/>
      <c r="C131" s="2458" t="s">
        <v>310</v>
      </c>
      <c r="D131" s="2459"/>
      <c r="E131" s="2459"/>
      <c r="F131" s="2460"/>
      <c r="G131" s="1380">
        <f>G121+G119+G120+G122</f>
        <v>17.520000000000003</v>
      </c>
    </row>
    <row r="132" spans="1:7" ht="15.75" thickBot="1">
      <c r="A132" s="2461"/>
      <c r="B132" s="2462"/>
      <c r="C132" s="2463" t="s">
        <v>325</v>
      </c>
      <c r="D132" s="2464"/>
      <c r="E132" s="2464"/>
      <c r="F132" s="2465"/>
      <c r="G132" s="1381">
        <f>G125+G127+G129+G131</f>
        <v>555.49</v>
      </c>
    </row>
    <row r="133" spans="1:7" ht="15.75" thickBot="1">
      <c r="A133" s="1348"/>
      <c r="B133" s="1382"/>
      <c r="C133" s="1383"/>
      <c r="D133" s="1383"/>
      <c r="E133" s="1383"/>
      <c r="F133" s="1383"/>
      <c r="G133" s="1384"/>
    </row>
    <row r="134" spans="1:7" ht="15.75" thickBot="1">
      <c r="A134" s="1299" t="s">
        <v>1776</v>
      </c>
      <c r="B134" s="2366" t="s">
        <v>1777</v>
      </c>
      <c r="C134" s="2367"/>
      <c r="D134" s="2367"/>
      <c r="E134" s="2367"/>
      <c r="F134" s="2367"/>
      <c r="G134" s="2368"/>
    </row>
    <row r="135" spans="1:7">
      <c r="A135" s="2435" t="s">
        <v>306</v>
      </c>
      <c r="B135" s="2436"/>
      <c r="C135" s="2436"/>
      <c r="D135" s="2436"/>
      <c r="E135" s="2436"/>
      <c r="F135" s="2436"/>
      <c r="G135" s="2437"/>
    </row>
    <row r="136" spans="1:7">
      <c r="A136" s="2372" t="s">
        <v>1778</v>
      </c>
      <c r="B136" s="2373"/>
      <c r="C136" s="2373"/>
      <c r="D136" s="2373"/>
      <c r="E136" s="2373"/>
      <c r="F136" s="2373"/>
      <c r="G136" s="2374"/>
    </row>
    <row r="137" spans="1:7">
      <c r="A137" s="1313" t="s">
        <v>321</v>
      </c>
      <c r="B137" s="1314" t="s">
        <v>1779</v>
      </c>
      <c r="C137" s="1314" t="s">
        <v>1780</v>
      </c>
      <c r="D137" s="1314" t="s">
        <v>1781</v>
      </c>
      <c r="E137" s="2429" t="s">
        <v>309</v>
      </c>
      <c r="F137" s="2430"/>
      <c r="G137" s="2431"/>
    </row>
    <row r="138" spans="1:7" ht="18" customHeight="1">
      <c r="A138" s="2449">
        <v>4.5999999999999996</v>
      </c>
      <c r="B138" s="2452">
        <v>2.7</v>
      </c>
      <c r="C138" s="2455" t="s">
        <v>1782</v>
      </c>
      <c r="D138" s="2452">
        <f>A138*B138-(0.9*2.1)</f>
        <v>10.53</v>
      </c>
      <c r="E138" s="2512"/>
      <c r="F138" s="2633"/>
      <c r="G138" s="2513"/>
    </row>
    <row r="139" spans="1:7" ht="21.75" customHeight="1">
      <c r="A139" s="2450"/>
      <c r="B139" s="2453"/>
      <c r="C139" s="2456"/>
      <c r="D139" s="2453"/>
      <c r="E139" s="2475"/>
      <c r="F139" s="2476"/>
      <c r="G139" s="2477"/>
    </row>
    <row r="140" spans="1:7" ht="19.5" customHeight="1">
      <c r="A140" s="2450"/>
      <c r="B140" s="2453"/>
      <c r="C140" s="2456"/>
      <c r="D140" s="2453"/>
      <c r="E140" s="2475"/>
      <c r="F140" s="2476"/>
      <c r="G140" s="2477"/>
    </row>
    <row r="141" spans="1:7" ht="19.5" customHeight="1">
      <c r="A141" s="2451"/>
      <c r="B141" s="2454"/>
      <c r="C141" s="2457"/>
      <c r="D141" s="2454"/>
      <c r="E141" s="2514"/>
      <c r="F141" s="2370"/>
      <c r="G141" s="2371"/>
    </row>
    <row r="142" spans="1:7" ht="15.75" thickBot="1">
      <c r="A142" s="2478"/>
      <c r="B142" s="2424"/>
      <c r="C142" s="1385" t="s">
        <v>310</v>
      </c>
      <c r="D142" s="1386">
        <f>SUM(D138:D141)</f>
        <v>10.53</v>
      </c>
      <c r="E142" s="2479"/>
      <c r="F142" s="2480"/>
      <c r="G142" s="2481"/>
    </row>
    <row r="143" spans="1:7" ht="15.75" thickBot="1">
      <c r="A143" s="1387"/>
      <c r="B143" s="1388"/>
      <c r="C143" s="1389"/>
      <c r="D143" s="1390"/>
      <c r="E143" s="1391"/>
      <c r="F143" s="1391"/>
      <c r="G143" s="1392"/>
    </row>
    <row r="144" spans="1:7" ht="15.75" thickBot="1">
      <c r="A144" s="1299" t="s">
        <v>1783</v>
      </c>
      <c r="B144" s="2366" t="s">
        <v>1784</v>
      </c>
      <c r="C144" s="2367"/>
      <c r="D144" s="2367"/>
      <c r="E144" s="2367"/>
      <c r="F144" s="2367"/>
      <c r="G144" s="2368"/>
    </row>
    <row r="145" spans="1:7">
      <c r="A145" s="2435" t="s">
        <v>306</v>
      </c>
      <c r="B145" s="2436"/>
      <c r="C145" s="2436"/>
      <c r="D145" s="2436"/>
      <c r="E145" s="2436"/>
      <c r="F145" s="2436"/>
      <c r="G145" s="2437"/>
    </row>
    <row r="146" spans="1:7">
      <c r="A146" s="2372" t="s">
        <v>1778</v>
      </c>
      <c r="B146" s="2373"/>
      <c r="C146" s="2373"/>
      <c r="D146" s="2373"/>
      <c r="E146" s="2373"/>
      <c r="F146" s="2373"/>
      <c r="G146" s="2374"/>
    </row>
    <row r="147" spans="1:7">
      <c r="A147" s="1313" t="s">
        <v>1785</v>
      </c>
      <c r="B147" s="1314" t="s">
        <v>1786</v>
      </c>
      <c r="C147" s="1314" t="s">
        <v>1787</v>
      </c>
      <c r="D147" s="1314" t="s">
        <v>1788</v>
      </c>
      <c r="E147" s="2429" t="s">
        <v>309</v>
      </c>
      <c r="F147" s="2430"/>
      <c r="G147" s="2431"/>
    </row>
    <row r="148" spans="1:7">
      <c r="A148" s="1393" t="s">
        <v>1789</v>
      </c>
      <c r="B148" s="1317">
        <v>1.1000000000000001</v>
      </c>
      <c r="C148" s="1394" t="s">
        <v>1790</v>
      </c>
      <c r="D148" s="1395">
        <f>(1.1+0.6)*11</f>
        <v>18.700000000000003</v>
      </c>
      <c r="E148" s="1396"/>
      <c r="F148" s="1397"/>
      <c r="G148" s="1398"/>
    </row>
    <row r="149" spans="1:7">
      <c r="A149" s="1393" t="s">
        <v>1791</v>
      </c>
      <c r="B149" s="1317">
        <v>2.2999999999999998</v>
      </c>
      <c r="C149" s="1394" t="s">
        <v>1790</v>
      </c>
      <c r="D149" s="1395">
        <f>(2.3+0.6)*6</f>
        <v>17.399999999999999</v>
      </c>
      <c r="E149" s="1537"/>
      <c r="F149" s="1538"/>
      <c r="G149" s="1539"/>
    </row>
    <row r="150" spans="1:7">
      <c r="A150" s="1393" t="s">
        <v>1792</v>
      </c>
      <c r="B150" s="1317">
        <v>2.2000000000000002</v>
      </c>
      <c r="C150" s="1394" t="s">
        <v>1790</v>
      </c>
      <c r="D150" s="1395">
        <f>(2.2+0.6)*2</f>
        <v>5.6000000000000005</v>
      </c>
      <c r="E150" s="1537"/>
      <c r="F150" s="1538"/>
      <c r="G150" s="1539"/>
    </row>
    <row r="151" spans="1:7">
      <c r="A151" s="1393" t="s">
        <v>1793</v>
      </c>
      <c r="B151" s="1317">
        <v>1.2</v>
      </c>
      <c r="C151" s="1394" t="s">
        <v>1790</v>
      </c>
      <c r="D151" s="1395">
        <f>(2+0.6)*6</f>
        <v>15.600000000000001</v>
      </c>
      <c r="E151" s="1537"/>
      <c r="F151" s="1538"/>
      <c r="G151" s="1539"/>
    </row>
    <row r="152" spans="1:7" ht="15.75" thickBot="1">
      <c r="A152" s="2478"/>
      <c r="B152" s="2424"/>
      <c r="C152" s="1385" t="s">
        <v>310</v>
      </c>
      <c r="D152" s="1386">
        <f>SUM(D148:D151)</f>
        <v>57.300000000000004</v>
      </c>
      <c r="E152" s="2479"/>
      <c r="F152" s="2480"/>
      <c r="G152" s="2481"/>
    </row>
    <row r="153" spans="1:7" ht="15.75" thickBot="1">
      <c r="A153" s="1399"/>
      <c r="B153" s="1400"/>
      <c r="C153" s="1401"/>
      <c r="D153" s="1401"/>
      <c r="E153" s="1401"/>
      <c r="F153" s="1401"/>
      <c r="G153" s="1402"/>
    </row>
    <row r="154" spans="1:7" ht="15.75" thickBot="1">
      <c r="A154" s="1299" t="s">
        <v>1794</v>
      </c>
      <c r="B154" s="2366" t="s">
        <v>1795</v>
      </c>
      <c r="C154" s="2367"/>
      <c r="D154" s="2367"/>
      <c r="E154" s="2367"/>
      <c r="F154" s="2367"/>
      <c r="G154" s="2368"/>
    </row>
    <row r="155" spans="1:7">
      <c r="A155" s="2411" t="s">
        <v>306</v>
      </c>
      <c r="B155" s="2412"/>
      <c r="C155" s="2412"/>
      <c r="D155" s="2412"/>
      <c r="E155" s="2412"/>
      <c r="F155" s="2412"/>
      <c r="G155" s="2413"/>
    </row>
    <row r="156" spans="1:7">
      <c r="A156" s="2372" t="s">
        <v>1778</v>
      </c>
      <c r="B156" s="2373"/>
      <c r="C156" s="2373"/>
      <c r="D156" s="2373"/>
      <c r="E156" s="2373"/>
      <c r="F156" s="2373"/>
      <c r="G156" s="2374"/>
    </row>
    <row r="157" spans="1:7">
      <c r="A157" s="1313" t="s">
        <v>1785</v>
      </c>
      <c r="B157" s="1314" t="s">
        <v>1786</v>
      </c>
      <c r="C157" s="1314" t="s">
        <v>1787</v>
      </c>
      <c r="D157" s="1314" t="s">
        <v>1788</v>
      </c>
      <c r="E157" s="2429" t="s">
        <v>309</v>
      </c>
      <c r="F157" s="2430"/>
      <c r="G157" s="2431"/>
    </row>
    <row r="158" spans="1:7">
      <c r="A158" s="1393" t="s">
        <v>1796</v>
      </c>
      <c r="B158" s="1317">
        <v>1.6</v>
      </c>
      <c r="C158" s="1394" t="s">
        <v>1790</v>
      </c>
      <c r="D158" s="1395">
        <f>(1.6*2.1)*1</f>
        <v>3.3600000000000003</v>
      </c>
      <c r="E158" s="2475"/>
      <c r="F158" s="2476"/>
      <c r="G158" s="2477"/>
    </row>
    <row r="159" spans="1:7">
      <c r="A159" s="1393" t="s">
        <v>1797</v>
      </c>
      <c r="B159" s="1317">
        <v>1.3</v>
      </c>
      <c r="C159" s="1394" t="s">
        <v>1790</v>
      </c>
      <c r="D159" s="1395">
        <f>1.3*2.1*1</f>
        <v>2.7300000000000004</v>
      </c>
      <c r="E159" s="2475"/>
      <c r="F159" s="2476"/>
      <c r="G159" s="2477"/>
    </row>
    <row r="160" spans="1:7">
      <c r="A160" s="1393" t="s">
        <v>1798</v>
      </c>
      <c r="B160" s="1317">
        <v>0.8</v>
      </c>
      <c r="C160" s="1394" t="s">
        <v>1790</v>
      </c>
      <c r="D160" s="1395">
        <f>0.8*2.1*3</f>
        <v>5.0400000000000009</v>
      </c>
      <c r="E160" s="2475"/>
      <c r="F160" s="2476"/>
      <c r="G160" s="2477"/>
    </row>
    <row r="161" spans="1:7">
      <c r="A161" s="1393" t="s">
        <v>1799</v>
      </c>
      <c r="B161" s="1317">
        <v>1</v>
      </c>
      <c r="C161" s="1394" t="s">
        <v>1790</v>
      </c>
      <c r="D161" s="1395">
        <f>1*2.1*1</f>
        <v>2.1</v>
      </c>
      <c r="E161" s="2475"/>
      <c r="F161" s="2476"/>
      <c r="G161" s="2477"/>
    </row>
    <row r="162" spans="1:7">
      <c r="A162" s="1393" t="s">
        <v>1800</v>
      </c>
      <c r="B162" s="1317">
        <v>1.3</v>
      </c>
      <c r="C162" s="1394" t="s">
        <v>1790</v>
      </c>
      <c r="D162" s="1395">
        <f>(1.3*2.1)*1</f>
        <v>2.7300000000000004</v>
      </c>
      <c r="E162" s="2475"/>
      <c r="F162" s="2476"/>
      <c r="G162" s="2477"/>
    </row>
    <row r="163" spans="1:7">
      <c r="A163" s="1393" t="s">
        <v>1801</v>
      </c>
      <c r="B163" s="1317">
        <v>0.8</v>
      </c>
      <c r="C163" s="1394" t="s">
        <v>1790</v>
      </c>
      <c r="D163" s="1395">
        <f>(0.8+2.1)*1</f>
        <v>2.9000000000000004</v>
      </c>
      <c r="E163" s="2475"/>
      <c r="F163" s="2476"/>
      <c r="G163" s="2477"/>
    </row>
    <row r="164" spans="1:7">
      <c r="A164" s="1403" t="s">
        <v>1802</v>
      </c>
      <c r="B164" s="1317">
        <v>0.8</v>
      </c>
      <c r="C164" s="1394" t="s">
        <v>1790</v>
      </c>
      <c r="D164" s="1395">
        <f>(0.8+2.1)*5</f>
        <v>14.500000000000002</v>
      </c>
      <c r="E164" s="1404"/>
      <c r="F164" s="1342"/>
      <c r="G164" s="1343"/>
    </row>
    <row r="165" spans="1:7" ht="15.75" thickBot="1">
      <c r="A165" s="2478"/>
      <c r="B165" s="2424"/>
      <c r="C165" s="1385" t="s">
        <v>310</v>
      </c>
      <c r="D165" s="1386">
        <f>SUM(D158:D164)</f>
        <v>33.360000000000007</v>
      </c>
      <c r="E165" s="2479"/>
      <c r="F165" s="2480"/>
      <c r="G165" s="2481"/>
    </row>
    <row r="166" spans="1:7" ht="15.75" thickBot="1">
      <c r="A166" s="1348"/>
      <c r="B166" s="1382"/>
      <c r="C166" s="1383"/>
      <c r="D166" s="1383"/>
      <c r="E166" s="1383"/>
      <c r="F166" s="1383"/>
      <c r="G166" s="1384"/>
    </row>
    <row r="167" spans="1:7" ht="15.75" thickBot="1">
      <c r="A167" s="1299" t="s">
        <v>1803</v>
      </c>
      <c r="B167" s="2366" t="s">
        <v>1804</v>
      </c>
      <c r="C167" s="2367"/>
      <c r="D167" s="2367"/>
      <c r="E167" s="2367"/>
      <c r="F167" s="2367"/>
      <c r="G167" s="2368"/>
    </row>
    <row r="168" spans="1:7">
      <c r="A168" s="2411" t="s">
        <v>306</v>
      </c>
      <c r="B168" s="2412"/>
      <c r="C168" s="2412"/>
      <c r="D168" s="2412"/>
      <c r="E168" s="2412"/>
      <c r="F168" s="2412"/>
      <c r="G168" s="2413"/>
    </row>
    <row r="169" spans="1:7">
      <c r="A169" s="2372" t="s">
        <v>1778</v>
      </c>
      <c r="B169" s="2373"/>
      <c r="C169" s="2373"/>
      <c r="D169" s="2373"/>
      <c r="E169" s="2373"/>
      <c r="F169" s="2373"/>
      <c r="G169" s="2374"/>
    </row>
    <row r="170" spans="1:7">
      <c r="A170" s="1313" t="s">
        <v>1785</v>
      </c>
      <c r="B170" s="1314" t="s">
        <v>1786</v>
      </c>
      <c r="C170" s="1314" t="s">
        <v>1787</v>
      </c>
      <c r="D170" s="1314" t="s">
        <v>1788</v>
      </c>
      <c r="E170" s="2429" t="s">
        <v>309</v>
      </c>
      <c r="F170" s="2430"/>
      <c r="G170" s="2431"/>
    </row>
    <row r="171" spans="1:7">
      <c r="A171" s="1393" t="s">
        <v>1789</v>
      </c>
      <c r="B171" s="1317">
        <v>1.1000000000000001</v>
      </c>
      <c r="C171" s="1394" t="s">
        <v>1790</v>
      </c>
      <c r="D171" s="1395">
        <f>(1.1+0.6)*11</f>
        <v>18.700000000000003</v>
      </c>
      <c r="E171" s="1396"/>
      <c r="F171" s="1397"/>
      <c r="G171" s="1398"/>
    </row>
    <row r="172" spans="1:7">
      <c r="A172" s="1393" t="s">
        <v>1791</v>
      </c>
      <c r="B172" s="1317">
        <v>2.2999999999999998</v>
      </c>
      <c r="C172" s="1394" t="s">
        <v>1790</v>
      </c>
      <c r="D172" s="1395">
        <f>(2.3+0.6)*6</f>
        <v>17.399999999999999</v>
      </c>
      <c r="E172" s="2475"/>
      <c r="F172" s="2476"/>
      <c r="G172" s="2477"/>
    </row>
    <row r="173" spans="1:7">
      <c r="A173" s="1393" t="s">
        <v>1792</v>
      </c>
      <c r="B173" s="1317">
        <v>2.2000000000000002</v>
      </c>
      <c r="C173" s="1394" t="s">
        <v>1790</v>
      </c>
      <c r="D173" s="1395">
        <f>(2.2+0.6)*2</f>
        <v>5.6000000000000005</v>
      </c>
      <c r="E173" s="2475"/>
      <c r="F173" s="2476"/>
      <c r="G173" s="2477"/>
    </row>
    <row r="174" spans="1:7">
      <c r="A174" s="1393" t="s">
        <v>1793</v>
      </c>
      <c r="B174" s="1317">
        <v>1.2</v>
      </c>
      <c r="C174" s="1394" t="s">
        <v>1790</v>
      </c>
      <c r="D174" s="1395">
        <f>(2+0.6)*6</f>
        <v>15.600000000000001</v>
      </c>
      <c r="E174" s="2475"/>
      <c r="F174" s="2476"/>
      <c r="G174" s="2477"/>
    </row>
    <row r="175" spans="1:7" ht="15.75" thickBot="1">
      <c r="A175" s="2478"/>
      <c r="B175" s="2424"/>
      <c r="C175" s="1385" t="s">
        <v>310</v>
      </c>
      <c r="D175" s="1386">
        <f>SUM(D171:D174)</f>
        <v>57.300000000000004</v>
      </c>
      <c r="E175" s="2479"/>
      <c r="F175" s="2480"/>
      <c r="G175" s="2481"/>
    </row>
    <row r="176" spans="1:7" ht="15.75" thickBot="1">
      <c r="A176" s="1399"/>
      <c r="B176" s="1400"/>
      <c r="C176" s="1401"/>
      <c r="D176" s="1401"/>
      <c r="E176" s="1401"/>
      <c r="F176" s="1401"/>
      <c r="G176" s="1402"/>
    </row>
    <row r="177" spans="1:7" ht="15.75" thickBot="1">
      <c r="A177" s="1299" t="s">
        <v>1805</v>
      </c>
      <c r="B177" s="2366" t="s">
        <v>326</v>
      </c>
      <c r="C177" s="2367"/>
      <c r="D177" s="2367"/>
      <c r="E177" s="2367"/>
      <c r="F177" s="2367"/>
      <c r="G177" s="2368"/>
    </row>
    <row r="178" spans="1:7" ht="15.75" thickBot="1">
      <c r="A178" s="1299" t="s">
        <v>45</v>
      </c>
      <c r="B178" s="2366" t="s">
        <v>1806</v>
      </c>
      <c r="C178" s="2367"/>
      <c r="D178" s="2367"/>
      <c r="E178" s="2367"/>
      <c r="F178" s="2367"/>
      <c r="G178" s="2368"/>
    </row>
    <row r="179" spans="1:7">
      <c r="A179" s="2369" t="s">
        <v>306</v>
      </c>
      <c r="B179" s="2370"/>
      <c r="C179" s="2370"/>
      <c r="D179" s="2370"/>
      <c r="E179" s="2370"/>
      <c r="F179" s="2370"/>
      <c r="G179" s="2371"/>
    </row>
    <row r="180" spans="1:7">
      <c r="A180" s="2488" t="s">
        <v>1807</v>
      </c>
      <c r="B180" s="2489"/>
      <c r="C180" s="2489"/>
      <c r="D180" s="2489"/>
      <c r="E180" s="2489"/>
      <c r="F180" s="2489"/>
      <c r="G180" s="2490"/>
    </row>
    <row r="181" spans="1:7">
      <c r="A181" s="2466" t="s">
        <v>311</v>
      </c>
      <c r="B181" s="2448"/>
      <c r="C181" s="2429" t="s">
        <v>327</v>
      </c>
      <c r="D181" s="2448"/>
      <c r="E181" s="2429" t="s">
        <v>309</v>
      </c>
      <c r="F181" s="2430"/>
      <c r="G181" s="2431"/>
    </row>
    <row r="182" spans="1:7" ht="15.75" thickBot="1">
      <c r="A182" s="2482" t="s">
        <v>1808</v>
      </c>
      <c r="B182" s="2483"/>
      <c r="C182" s="2484">
        <v>246.01</v>
      </c>
      <c r="D182" s="2485"/>
      <c r="E182" s="2484" t="s">
        <v>1809</v>
      </c>
      <c r="F182" s="2486"/>
      <c r="G182" s="2487"/>
    </row>
    <row r="183" spans="1:7" ht="15.75" thickBot="1">
      <c r="A183" s="1348"/>
      <c r="B183" s="1382"/>
      <c r="C183" s="1383"/>
      <c r="D183" s="1383"/>
      <c r="E183" s="1383"/>
      <c r="F183" s="1383"/>
      <c r="G183" s="1384"/>
    </row>
    <row r="184" spans="1:7" ht="15.75" thickBot="1">
      <c r="A184" s="1299" t="s">
        <v>74</v>
      </c>
      <c r="B184" s="2366" t="s">
        <v>1810</v>
      </c>
      <c r="C184" s="2367"/>
      <c r="D184" s="2367"/>
      <c r="E184" s="2367"/>
      <c r="F184" s="2367"/>
      <c r="G184" s="2368"/>
    </row>
    <row r="185" spans="1:7">
      <c r="A185" s="2369" t="s">
        <v>306</v>
      </c>
      <c r="B185" s="2370"/>
      <c r="C185" s="2370"/>
      <c r="D185" s="2370"/>
      <c r="E185" s="2370"/>
      <c r="F185" s="2370"/>
      <c r="G185" s="2371"/>
    </row>
    <row r="186" spans="1:7">
      <c r="A186" s="2488" t="s">
        <v>1807</v>
      </c>
      <c r="B186" s="2489"/>
      <c r="C186" s="2489"/>
      <c r="D186" s="2489"/>
      <c r="E186" s="2489"/>
      <c r="F186" s="2489"/>
      <c r="G186" s="2490"/>
    </row>
    <row r="187" spans="1:7">
      <c r="A187" s="2466" t="s">
        <v>311</v>
      </c>
      <c r="B187" s="2448"/>
      <c r="C187" s="2429" t="s">
        <v>327</v>
      </c>
      <c r="D187" s="2448"/>
      <c r="E187" s="2429" t="s">
        <v>309</v>
      </c>
      <c r="F187" s="2430"/>
      <c r="G187" s="2431"/>
    </row>
    <row r="188" spans="1:7">
      <c r="A188" s="2411" t="s">
        <v>1808</v>
      </c>
      <c r="B188" s="2500"/>
      <c r="C188" s="2493">
        <f>C182</f>
        <v>246.01</v>
      </c>
      <c r="D188" s="2501"/>
      <c r="E188" s="2502" t="s">
        <v>1809</v>
      </c>
      <c r="F188" s="2503"/>
      <c r="G188" s="2504"/>
    </row>
    <row r="189" spans="1:7" ht="15.75" thickBot="1">
      <c r="A189" s="2499"/>
      <c r="B189" s="2480"/>
      <c r="C189" s="2480"/>
      <c r="D189" s="2480"/>
      <c r="E189" s="2480"/>
      <c r="F189" s="2480"/>
      <c r="G189" s="2481"/>
    </row>
    <row r="190" spans="1:7" ht="15.75" thickBot="1">
      <c r="A190" s="1405"/>
      <c r="B190" s="1341"/>
      <c r="C190" s="1341"/>
      <c r="D190" s="1341"/>
      <c r="E190" s="1341"/>
      <c r="F190" s="1341"/>
      <c r="G190" s="1384"/>
    </row>
    <row r="191" spans="1:7" ht="15.75" thickBot="1">
      <c r="A191" s="1299" t="s">
        <v>75</v>
      </c>
      <c r="B191" s="2366" t="s">
        <v>627</v>
      </c>
      <c r="C191" s="2367"/>
      <c r="D191" s="2367"/>
      <c r="E191" s="2367"/>
      <c r="F191" s="2367"/>
      <c r="G191" s="2368"/>
    </row>
    <row r="192" spans="1:7">
      <c r="A192" s="2369" t="s">
        <v>306</v>
      </c>
      <c r="B192" s="2370"/>
      <c r="C192" s="2370"/>
      <c r="D192" s="2370"/>
      <c r="E192" s="2370"/>
      <c r="F192" s="2370"/>
      <c r="G192" s="2371"/>
    </row>
    <row r="193" spans="1:7">
      <c r="A193" s="2488" t="s">
        <v>1807</v>
      </c>
      <c r="B193" s="2489"/>
      <c r="C193" s="2489"/>
      <c r="D193" s="2489"/>
      <c r="E193" s="2489"/>
      <c r="F193" s="2489"/>
      <c r="G193" s="2490"/>
    </row>
    <row r="194" spans="1:7">
      <c r="A194" s="2466" t="s">
        <v>1811</v>
      </c>
      <c r="B194" s="2448"/>
      <c r="C194" s="1314" t="s">
        <v>321</v>
      </c>
      <c r="D194" s="1314" t="s">
        <v>308</v>
      </c>
      <c r="E194" s="2429" t="s">
        <v>309</v>
      </c>
      <c r="F194" s="2430"/>
      <c r="G194" s="2431"/>
    </row>
    <row r="195" spans="1:7">
      <c r="A195" s="2491" t="s">
        <v>1812</v>
      </c>
      <c r="B195" s="2492"/>
      <c r="C195" s="1406">
        <v>36.450000000000003</v>
      </c>
      <c r="D195" s="1407">
        <v>33.979999999999997</v>
      </c>
      <c r="E195" s="2493"/>
      <c r="F195" s="2494"/>
      <c r="G195" s="2495"/>
    </row>
    <row r="196" spans="1:7" ht="15.75" thickBot="1">
      <c r="A196" s="1408"/>
      <c r="B196" s="1409"/>
      <c r="C196" s="1410" t="s">
        <v>310</v>
      </c>
      <c r="D196" s="1411">
        <f>SUM(D195:D195)</f>
        <v>33.979999999999997</v>
      </c>
      <c r="E196" s="2496"/>
      <c r="F196" s="2497"/>
      <c r="G196" s="2498"/>
    </row>
    <row r="197" spans="1:7" ht="15.75" thickBot="1">
      <c r="A197" s="1405"/>
      <c r="B197" s="1341"/>
      <c r="C197" s="1341"/>
      <c r="D197" s="1341"/>
      <c r="E197" s="1341"/>
      <c r="F197" s="1341"/>
      <c r="G197" s="1384"/>
    </row>
    <row r="198" spans="1:7" ht="15.75" thickBot="1">
      <c r="A198" s="1299" t="s">
        <v>1813</v>
      </c>
      <c r="B198" s="2366" t="s">
        <v>73</v>
      </c>
      <c r="C198" s="2367"/>
      <c r="D198" s="2367"/>
      <c r="E198" s="2367"/>
      <c r="F198" s="2367"/>
      <c r="G198" s="2368"/>
    </row>
    <row r="199" spans="1:7" ht="18" customHeight="1">
      <c r="A199" s="1412"/>
      <c r="B199" s="1413"/>
      <c r="C199" s="1413"/>
      <c r="D199" s="1413"/>
      <c r="E199" s="1413"/>
      <c r="F199" s="1413"/>
      <c r="G199" s="1414"/>
    </row>
    <row r="200" spans="1:7" ht="18.75" customHeight="1">
      <c r="A200" s="1415"/>
      <c r="B200" s="1416"/>
      <c r="C200" s="1364"/>
      <c r="D200" s="1364"/>
      <c r="E200" s="1364"/>
      <c r="F200" s="1364"/>
      <c r="G200" s="1384"/>
    </row>
    <row r="201" spans="1:7" ht="18.75" customHeight="1">
      <c r="A201" s="1415"/>
      <c r="B201" s="1416"/>
      <c r="C201" s="1364"/>
      <c r="D201" s="1364"/>
      <c r="E201" s="1364"/>
      <c r="F201" s="1364"/>
      <c r="G201" s="1384"/>
    </row>
    <row r="202" spans="1:7" ht="21" customHeight="1">
      <c r="A202" s="1415"/>
      <c r="B202" s="1416"/>
      <c r="C202" s="1364"/>
      <c r="D202" s="1364"/>
      <c r="E202" s="1364"/>
      <c r="F202" s="1364"/>
      <c r="G202" s="1384"/>
    </row>
    <row r="203" spans="1:7" ht="21" customHeight="1">
      <c r="A203" s="1415"/>
      <c r="B203" s="1416"/>
      <c r="C203" s="1364"/>
      <c r="D203" s="1364"/>
      <c r="E203" s="1364"/>
      <c r="F203" s="1364"/>
      <c r="G203" s="1384"/>
    </row>
    <row r="204" spans="1:7" ht="18.75" customHeight="1">
      <c r="A204" s="1415"/>
      <c r="B204" s="1416"/>
      <c r="C204" s="1364"/>
      <c r="D204" s="1364"/>
      <c r="E204" s="1364"/>
      <c r="F204" s="1364"/>
      <c r="G204" s="1384"/>
    </row>
    <row r="205" spans="1:7" ht="18.75" customHeight="1">
      <c r="A205" s="1415"/>
      <c r="B205" s="1416"/>
      <c r="C205" s="1364"/>
      <c r="D205" s="1364"/>
      <c r="E205" s="1364"/>
      <c r="F205" s="1364"/>
      <c r="G205" s="1384"/>
    </row>
    <row r="206" spans="1:7" ht="21" customHeight="1">
      <c r="A206" s="1415"/>
      <c r="B206" s="1416"/>
      <c r="C206" s="1364"/>
      <c r="D206" s="1364"/>
      <c r="E206" s="1364"/>
      <c r="F206" s="1417" t="s">
        <v>1814</v>
      </c>
      <c r="G206" s="1384"/>
    </row>
    <row r="207" spans="1:7" ht="21.75" customHeight="1">
      <c r="A207" s="1415"/>
      <c r="B207" s="1416"/>
      <c r="C207" s="1364"/>
      <c r="D207" s="1364"/>
      <c r="E207" s="1568" t="s">
        <v>2259</v>
      </c>
      <c r="F207" s="1417"/>
      <c r="G207" s="1384"/>
    </row>
    <row r="208" spans="1:7" ht="21" customHeight="1">
      <c r="A208" s="1415"/>
      <c r="B208" s="1416"/>
      <c r="C208" s="1364"/>
      <c r="D208" s="1364"/>
      <c r="E208" s="1364"/>
      <c r="F208" s="1364"/>
      <c r="G208" s="1384"/>
    </row>
    <row r="209" spans="1:7" ht="26.25" customHeight="1">
      <c r="A209" s="1415"/>
      <c r="B209" s="1416"/>
      <c r="C209" s="1364"/>
      <c r="D209" s="1364"/>
      <c r="E209" s="1568" t="s">
        <v>2260</v>
      </c>
      <c r="F209" s="1417" t="s">
        <v>1815</v>
      </c>
      <c r="G209" s="1384"/>
    </row>
    <row r="210" spans="1:7" ht="20.25" customHeight="1">
      <c r="A210" s="1415"/>
      <c r="B210" s="1416"/>
      <c r="C210" s="1364"/>
      <c r="D210" s="1364"/>
      <c r="E210" s="1364"/>
      <c r="F210" s="1417"/>
      <c r="G210" s="1384"/>
    </row>
    <row r="211" spans="1:7" ht="21.75" customHeight="1">
      <c r="A211" s="1415"/>
      <c r="B211" s="1416"/>
      <c r="C211" s="1364"/>
      <c r="D211" s="1364"/>
      <c r="E211" s="1364"/>
      <c r="F211" s="1364"/>
      <c r="G211" s="1384"/>
    </row>
    <row r="212" spans="1:7" ht="21.75" customHeight="1">
      <c r="A212" s="1415"/>
      <c r="B212" s="1416"/>
      <c r="C212" s="1364"/>
      <c r="D212" s="1364"/>
      <c r="E212" s="1364"/>
      <c r="F212" s="1364"/>
      <c r="G212" s="1384"/>
    </row>
    <row r="213" spans="1:7">
      <c r="A213" s="1415"/>
      <c r="B213" s="1416"/>
      <c r="C213" s="1364"/>
      <c r="D213" s="1364"/>
      <c r="E213" s="1364"/>
      <c r="F213" s="1364"/>
      <c r="G213" s="1384"/>
    </row>
    <row r="214" spans="1:7" ht="15.75" thickBot="1">
      <c r="A214" s="1415"/>
      <c r="B214" s="1416"/>
      <c r="C214" s="1364"/>
      <c r="D214" s="1364"/>
      <c r="E214" s="1364"/>
      <c r="F214" s="1364"/>
      <c r="G214" s="1384"/>
    </row>
    <row r="215" spans="1:7" ht="15.75" thickBot="1">
      <c r="A215" s="1299" t="s">
        <v>42</v>
      </c>
      <c r="B215" s="2366" t="s">
        <v>1816</v>
      </c>
      <c r="C215" s="2367"/>
      <c r="D215" s="2367"/>
      <c r="E215" s="2367"/>
      <c r="F215" s="2367"/>
      <c r="G215" s="2368"/>
    </row>
    <row r="216" spans="1:7">
      <c r="A216" s="2369" t="s">
        <v>306</v>
      </c>
      <c r="B216" s="2370"/>
      <c r="C216" s="2370"/>
      <c r="D216" s="2370"/>
      <c r="E216" s="2370"/>
      <c r="F216" s="2370"/>
      <c r="G216" s="2371"/>
    </row>
    <row r="217" spans="1:7">
      <c r="A217" s="2372" t="s">
        <v>328</v>
      </c>
      <c r="B217" s="2373"/>
      <c r="C217" s="2373"/>
      <c r="D217" s="2373"/>
      <c r="E217" s="2373"/>
      <c r="F217" s="2373"/>
      <c r="G217" s="2374"/>
    </row>
    <row r="218" spans="1:7">
      <c r="A218" s="1313" t="s">
        <v>311</v>
      </c>
      <c r="B218" s="1314" t="s">
        <v>329</v>
      </c>
      <c r="C218" s="1314" t="s">
        <v>330</v>
      </c>
      <c r="D218" s="1314" t="s">
        <v>324</v>
      </c>
      <c r="E218" s="1314" t="s">
        <v>281</v>
      </c>
      <c r="F218" s="2429" t="s">
        <v>331</v>
      </c>
      <c r="G218" s="2431"/>
    </row>
    <row r="219" spans="1:7">
      <c r="A219" s="1393" t="s">
        <v>332</v>
      </c>
      <c r="B219" s="1317">
        <v>1.6</v>
      </c>
      <c r="C219" s="1418">
        <v>2.1</v>
      </c>
      <c r="D219" s="1418">
        <f>ROUNDUP(B219*C219,2)</f>
        <v>3.36</v>
      </c>
      <c r="E219" s="1418">
        <v>1</v>
      </c>
      <c r="F219" s="2505">
        <f>E219*D219</f>
        <v>3.36</v>
      </c>
      <c r="G219" s="2506"/>
    </row>
    <row r="220" spans="1:7" ht="15.75" thickBot="1">
      <c r="A220" s="2461"/>
      <c r="B220" s="2508"/>
      <c r="C220" s="2508"/>
      <c r="D220" s="2462"/>
      <c r="E220" s="2463" t="s">
        <v>325</v>
      </c>
      <c r="F220" s="2465"/>
      <c r="G220" s="1381">
        <f>ROUNDUP(F219,2)</f>
        <v>3.36</v>
      </c>
    </row>
    <row r="221" spans="1:7" ht="15.75" thickBot="1">
      <c r="A221" s="1415"/>
      <c r="B221" s="1416"/>
      <c r="C221" s="1364"/>
      <c r="D221" s="1364"/>
      <c r="E221" s="1364"/>
      <c r="F221" s="1364"/>
      <c r="G221" s="1384"/>
    </row>
    <row r="222" spans="1:7" ht="15.75" thickBot="1">
      <c r="A222" s="1299" t="s">
        <v>134</v>
      </c>
      <c r="B222" s="2366" t="s">
        <v>1817</v>
      </c>
      <c r="C222" s="2367"/>
      <c r="D222" s="2367"/>
      <c r="E222" s="2367"/>
      <c r="F222" s="2367"/>
      <c r="G222" s="2368"/>
    </row>
    <row r="223" spans="1:7">
      <c r="A223" s="2369" t="s">
        <v>306</v>
      </c>
      <c r="B223" s="2370"/>
      <c r="C223" s="2370"/>
      <c r="D223" s="2370"/>
      <c r="E223" s="2370"/>
      <c r="F223" s="2370"/>
      <c r="G223" s="2371"/>
    </row>
    <row r="224" spans="1:7">
      <c r="A224" s="2372" t="s">
        <v>328</v>
      </c>
      <c r="B224" s="2373"/>
      <c r="C224" s="2373"/>
      <c r="D224" s="2373"/>
      <c r="E224" s="2373"/>
      <c r="F224" s="2373"/>
      <c r="G224" s="2374"/>
    </row>
    <row r="225" spans="1:7">
      <c r="A225" s="1313" t="s">
        <v>311</v>
      </c>
      <c r="B225" s="1314" t="s">
        <v>329</v>
      </c>
      <c r="C225" s="1314" t="s">
        <v>330</v>
      </c>
      <c r="D225" s="1314" t="s">
        <v>324</v>
      </c>
      <c r="E225" s="1314" t="s">
        <v>281</v>
      </c>
      <c r="F225" s="2429" t="s">
        <v>331</v>
      </c>
      <c r="G225" s="2431"/>
    </row>
    <row r="226" spans="1:7">
      <c r="A226" s="1393" t="s">
        <v>333</v>
      </c>
      <c r="B226" s="1317">
        <v>1.3</v>
      </c>
      <c r="C226" s="1418">
        <v>2.1</v>
      </c>
      <c r="D226" s="1418">
        <f>ROUNDUP(B226*C226,2)</f>
        <v>2.73</v>
      </c>
      <c r="E226" s="1418">
        <v>1</v>
      </c>
      <c r="F226" s="2505">
        <f>E226*D226</f>
        <v>2.73</v>
      </c>
      <c r="G226" s="2506"/>
    </row>
    <row r="227" spans="1:7" ht="15.75" thickBot="1">
      <c r="A227" s="2507" t="s">
        <v>325</v>
      </c>
      <c r="B227" s="2464"/>
      <c r="C227" s="2464"/>
      <c r="D227" s="2464"/>
      <c r="E227" s="2464"/>
      <c r="F227" s="2465"/>
      <c r="G227" s="1381">
        <f>ROUNDUP(F226,2)</f>
        <v>2.73</v>
      </c>
    </row>
    <row r="228" spans="1:7" ht="15.75" thickBot="1">
      <c r="A228" s="1415"/>
      <c r="B228" s="1416"/>
      <c r="C228" s="1364"/>
      <c r="D228" s="1364"/>
      <c r="E228" s="1364"/>
      <c r="F228" s="1364"/>
      <c r="G228" s="1384"/>
    </row>
    <row r="229" spans="1:7" ht="15.75" thickBot="1">
      <c r="A229" s="1299" t="s">
        <v>135</v>
      </c>
      <c r="B229" s="2366" t="s">
        <v>1818</v>
      </c>
      <c r="C229" s="2367"/>
      <c r="D229" s="2367"/>
      <c r="E229" s="2367"/>
      <c r="F229" s="2367"/>
      <c r="G229" s="2368"/>
    </row>
    <row r="230" spans="1:7">
      <c r="A230" s="2369" t="s">
        <v>306</v>
      </c>
      <c r="B230" s="2370"/>
      <c r="C230" s="2370"/>
      <c r="D230" s="2370"/>
      <c r="E230" s="2370"/>
      <c r="F230" s="2370"/>
      <c r="G230" s="2371"/>
    </row>
    <row r="231" spans="1:7">
      <c r="A231" s="2372" t="s">
        <v>328</v>
      </c>
      <c r="B231" s="2373"/>
      <c r="C231" s="2373"/>
      <c r="D231" s="2373"/>
      <c r="E231" s="2373"/>
      <c r="F231" s="2373"/>
      <c r="G231" s="2374"/>
    </row>
    <row r="232" spans="1:7">
      <c r="A232" s="1313" t="s">
        <v>311</v>
      </c>
      <c r="B232" s="1314" t="s">
        <v>329</v>
      </c>
      <c r="C232" s="1314" t="s">
        <v>330</v>
      </c>
      <c r="D232" s="1314" t="s">
        <v>324</v>
      </c>
      <c r="E232" s="1314" t="s">
        <v>281</v>
      </c>
      <c r="F232" s="2429" t="s">
        <v>331</v>
      </c>
      <c r="G232" s="2431"/>
    </row>
    <row r="233" spans="1:7">
      <c r="A233" s="1393" t="s">
        <v>1819</v>
      </c>
      <c r="B233" s="1317">
        <v>0.8</v>
      </c>
      <c r="C233" s="1418">
        <v>2.1</v>
      </c>
      <c r="D233" s="1418">
        <f>ROUNDUP(B233*C233,2)</f>
        <v>1.68</v>
      </c>
      <c r="E233" s="1418">
        <v>3</v>
      </c>
      <c r="F233" s="2505">
        <f>E233*D233</f>
        <v>5.04</v>
      </c>
      <c r="G233" s="2506"/>
    </row>
    <row r="234" spans="1:7" ht="15.75" thickBot="1">
      <c r="A234" s="2507"/>
      <c r="B234" s="2464"/>
      <c r="C234" s="2464"/>
      <c r="D234" s="2464"/>
      <c r="E234" s="2464"/>
      <c r="F234" s="2465"/>
      <c r="G234" s="1381">
        <f>ROUNDUP(F233,2)</f>
        <v>5.04</v>
      </c>
    </row>
    <row r="235" spans="1:7" ht="15.75" thickBot="1">
      <c r="A235" s="1415"/>
      <c r="B235" s="1416"/>
      <c r="C235" s="1364"/>
      <c r="D235" s="1364"/>
      <c r="E235" s="1364"/>
      <c r="F235" s="1364"/>
      <c r="G235" s="1384"/>
    </row>
    <row r="236" spans="1:7" ht="15.75" thickBot="1">
      <c r="A236" s="1299" t="s">
        <v>1820</v>
      </c>
      <c r="B236" s="2366" t="s">
        <v>1821</v>
      </c>
      <c r="C236" s="2367"/>
      <c r="D236" s="2367"/>
      <c r="E236" s="2367"/>
      <c r="F236" s="2367"/>
      <c r="G236" s="2368"/>
    </row>
    <row r="237" spans="1:7">
      <c r="A237" s="2369" t="s">
        <v>306</v>
      </c>
      <c r="B237" s="2370"/>
      <c r="C237" s="2370"/>
      <c r="D237" s="2370"/>
      <c r="E237" s="2370"/>
      <c r="F237" s="2370"/>
      <c r="G237" s="2371"/>
    </row>
    <row r="238" spans="1:7">
      <c r="A238" s="2372" t="s">
        <v>328</v>
      </c>
      <c r="B238" s="2373"/>
      <c r="C238" s="2373"/>
      <c r="D238" s="2373"/>
      <c r="E238" s="2373"/>
      <c r="F238" s="2373"/>
      <c r="G238" s="2374"/>
    </row>
    <row r="239" spans="1:7">
      <c r="A239" s="1313" t="s">
        <v>311</v>
      </c>
      <c r="B239" s="1314" t="s">
        <v>329</v>
      </c>
      <c r="C239" s="1314" t="s">
        <v>330</v>
      </c>
      <c r="D239" s="1314" t="s">
        <v>324</v>
      </c>
      <c r="E239" s="1314" t="s">
        <v>281</v>
      </c>
      <c r="F239" s="2429" t="s">
        <v>331</v>
      </c>
      <c r="G239" s="2431"/>
    </row>
    <row r="240" spans="1:7">
      <c r="A240" s="1393" t="s">
        <v>334</v>
      </c>
      <c r="B240" s="1317">
        <v>1</v>
      </c>
      <c r="C240" s="1418">
        <v>2.1</v>
      </c>
      <c r="D240" s="1418">
        <f>ROUNDUP(B240*C240,2)</f>
        <v>2.1</v>
      </c>
      <c r="E240" s="1418">
        <v>1</v>
      </c>
      <c r="F240" s="2505">
        <f>E240*D240</f>
        <v>2.1</v>
      </c>
      <c r="G240" s="2506"/>
    </row>
    <row r="241" spans="1:7" ht="15.75" thickBot="1">
      <c r="A241" s="2507" t="s">
        <v>325</v>
      </c>
      <c r="B241" s="2464"/>
      <c r="C241" s="2464"/>
      <c r="D241" s="2464"/>
      <c r="E241" s="2464"/>
      <c r="F241" s="2465"/>
      <c r="G241" s="1381">
        <f>ROUNDUP(F240,2)</f>
        <v>2.1</v>
      </c>
    </row>
    <row r="242" spans="1:7" ht="15.75" thickBot="1">
      <c r="A242" s="1415"/>
      <c r="B242" s="1416"/>
      <c r="C242" s="1364"/>
      <c r="D242" s="1364"/>
      <c r="E242" s="1364"/>
      <c r="F242" s="1364"/>
      <c r="G242" s="1384"/>
    </row>
    <row r="243" spans="1:7" ht="15.75" thickBot="1">
      <c r="A243" s="1299" t="s">
        <v>1822</v>
      </c>
      <c r="B243" s="2366" t="s">
        <v>1823</v>
      </c>
      <c r="C243" s="2367"/>
      <c r="D243" s="2367"/>
      <c r="E243" s="2367"/>
      <c r="F243" s="2367"/>
      <c r="G243" s="2368"/>
    </row>
    <row r="244" spans="1:7">
      <c r="A244" s="2369" t="s">
        <v>306</v>
      </c>
      <c r="B244" s="2370"/>
      <c r="C244" s="2370"/>
      <c r="D244" s="2370"/>
      <c r="E244" s="2370"/>
      <c r="F244" s="2370"/>
      <c r="G244" s="2371"/>
    </row>
    <row r="245" spans="1:7">
      <c r="A245" s="2372" t="s">
        <v>328</v>
      </c>
      <c r="B245" s="2373"/>
      <c r="C245" s="2373"/>
      <c r="D245" s="2373"/>
      <c r="E245" s="2373"/>
      <c r="F245" s="2373"/>
      <c r="G245" s="2374"/>
    </row>
    <row r="246" spans="1:7">
      <c r="A246" s="1313" t="s">
        <v>311</v>
      </c>
      <c r="B246" s="1314" t="s">
        <v>329</v>
      </c>
      <c r="C246" s="1314" t="s">
        <v>330</v>
      </c>
      <c r="D246" s="1314" t="s">
        <v>324</v>
      </c>
      <c r="E246" s="1314" t="s">
        <v>281</v>
      </c>
      <c r="F246" s="2429" t="s">
        <v>331</v>
      </c>
      <c r="G246" s="2431"/>
    </row>
    <row r="247" spans="1:7">
      <c r="A247" s="1393" t="s">
        <v>335</v>
      </c>
      <c r="B247" s="1317">
        <v>1.3</v>
      </c>
      <c r="C247" s="1418">
        <v>2.1</v>
      </c>
      <c r="D247" s="1418">
        <f>ROUNDUP(B247*C247,2)</f>
        <v>2.73</v>
      </c>
      <c r="E247" s="1418">
        <v>1</v>
      </c>
      <c r="F247" s="2505">
        <f>E247*D247</f>
        <v>2.73</v>
      </c>
      <c r="G247" s="2506"/>
    </row>
    <row r="248" spans="1:7" ht="15.75" thickBot="1">
      <c r="A248" s="2507" t="s">
        <v>325</v>
      </c>
      <c r="B248" s="2464"/>
      <c r="C248" s="2464"/>
      <c r="D248" s="2464"/>
      <c r="E248" s="2464"/>
      <c r="F248" s="2465"/>
      <c r="G248" s="1381">
        <f>ROUNDUP(F247,2)</f>
        <v>2.73</v>
      </c>
    </row>
    <row r="249" spans="1:7" ht="15.75" thickBot="1">
      <c r="A249" s="1284"/>
      <c r="B249" s="1285"/>
      <c r="C249" s="1285"/>
      <c r="D249" s="1285"/>
      <c r="E249" s="1285"/>
      <c r="F249" s="1285"/>
      <c r="G249" s="1286"/>
    </row>
    <row r="250" spans="1:7" ht="15.75" thickBot="1">
      <c r="A250" s="1299" t="s">
        <v>1824</v>
      </c>
      <c r="B250" s="2366" t="s">
        <v>1825</v>
      </c>
      <c r="C250" s="2367"/>
      <c r="D250" s="2367"/>
      <c r="E250" s="2367"/>
      <c r="F250" s="2367"/>
      <c r="G250" s="2368"/>
    </row>
    <row r="251" spans="1:7">
      <c r="A251" s="2369" t="s">
        <v>306</v>
      </c>
      <c r="B251" s="2370"/>
      <c r="C251" s="2370"/>
      <c r="D251" s="2370"/>
      <c r="E251" s="2370"/>
      <c r="F251" s="2370"/>
      <c r="G251" s="2371"/>
    </row>
    <row r="252" spans="1:7">
      <c r="A252" s="2372" t="s">
        <v>328</v>
      </c>
      <c r="B252" s="2373"/>
      <c r="C252" s="2373"/>
      <c r="D252" s="2373"/>
      <c r="E252" s="2373"/>
      <c r="F252" s="2373"/>
      <c r="G252" s="2374"/>
    </row>
    <row r="253" spans="1:7">
      <c r="A253" s="1313" t="s">
        <v>311</v>
      </c>
      <c r="B253" s="1314" t="s">
        <v>329</v>
      </c>
      <c r="C253" s="1314" t="s">
        <v>330</v>
      </c>
      <c r="D253" s="1314" t="s">
        <v>324</v>
      </c>
      <c r="E253" s="1314" t="s">
        <v>281</v>
      </c>
      <c r="F253" s="2429" t="s">
        <v>331</v>
      </c>
      <c r="G253" s="2431"/>
    </row>
    <row r="254" spans="1:7">
      <c r="A254" s="1393" t="s">
        <v>628</v>
      </c>
      <c r="B254" s="1317">
        <v>0.8</v>
      </c>
      <c r="C254" s="1418">
        <v>2.1</v>
      </c>
      <c r="D254" s="1418">
        <f>ROUNDUP(B254*C254,2)</f>
        <v>1.68</v>
      </c>
      <c r="E254" s="1418">
        <v>1</v>
      </c>
      <c r="F254" s="2505">
        <f>E254*D254</f>
        <v>1.68</v>
      </c>
      <c r="G254" s="2506"/>
    </row>
    <row r="255" spans="1:7" ht="15.75" thickBot="1">
      <c r="A255" s="2507" t="s">
        <v>325</v>
      </c>
      <c r="B255" s="2464"/>
      <c r="C255" s="2464"/>
      <c r="D255" s="2464"/>
      <c r="E255" s="2464"/>
      <c r="F255" s="2465"/>
      <c r="G255" s="1381">
        <f>ROUNDUP(F254,2)</f>
        <v>1.68</v>
      </c>
    </row>
    <row r="256" spans="1:7" ht="15.75" thickBot="1">
      <c r="A256" s="2509"/>
      <c r="B256" s="2510"/>
      <c r="C256" s="2510"/>
      <c r="D256" s="2510"/>
      <c r="E256" s="2510"/>
      <c r="F256" s="2510"/>
      <c r="G256" s="2511"/>
    </row>
    <row r="257" spans="1:7" ht="15.75" thickBot="1">
      <c r="A257" s="1299" t="s">
        <v>1826</v>
      </c>
      <c r="B257" s="2366" t="s">
        <v>1827</v>
      </c>
      <c r="C257" s="2367"/>
      <c r="D257" s="2367"/>
      <c r="E257" s="2367"/>
      <c r="F257" s="2367"/>
      <c r="G257" s="2368"/>
    </row>
    <row r="258" spans="1:7">
      <c r="A258" s="2369" t="s">
        <v>306</v>
      </c>
      <c r="B258" s="2370"/>
      <c r="C258" s="2370"/>
      <c r="D258" s="2370"/>
      <c r="E258" s="2370"/>
      <c r="F258" s="2370"/>
      <c r="G258" s="2371"/>
    </row>
    <row r="259" spans="1:7">
      <c r="A259" s="2372" t="s">
        <v>328</v>
      </c>
      <c r="B259" s="2373"/>
      <c r="C259" s="2373"/>
      <c r="D259" s="2373"/>
      <c r="E259" s="2373"/>
      <c r="F259" s="2373"/>
      <c r="G259" s="2374"/>
    </row>
    <row r="260" spans="1:7">
      <c r="A260" s="1313" t="s">
        <v>311</v>
      </c>
      <c r="B260" s="1314" t="s">
        <v>329</v>
      </c>
      <c r="C260" s="1314" t="s">
        <v>330</v>
      </c>
      <c r="D260" s="1314" t="s">
        <v>324</v>
      </c>
      <c r="E260" s="1314" t="s">
        <v>281</v>
      </c>
      <c r="F260" s="2429" t="s">
        <v>331</v>
      </c>
      <c r="G260" s="2431"/>
    </row>
    <row r="261" spans="1:7">
      <c r="A261" s="1393" t="s">
        <v>1828</v>
      </c>
      <c r="B261" s="1317">
        <v>0.8</v>
      </c>
      <c r="C261" s="1418">
        <v>2.1</v>
      </c>
      <c r="D261" s="1418">
        <f>ROUNDUP(B261*C261,2)</f>
        <v>1.68</v>
      </c>
      <c r="E261" s="1418">
        <v>5</v>
      </c>
      <c r="F261" s="2505">
        <f>E261*D261</f>
        <v>8.4</v>
      </c>
      <c r="G261" s="2506"/>
    </row>
    <row r="262" spans="1:7" ht="15.75" thickBot="1">
      <c r="A262" s="2507" t="s">
        <v>325</v>
      </c>
      <c r="B262" s="2464"/>
      <c r="C262" s="2464"/>
      <c r="D262" s="2464"/>
      <c r="E262" s="2464"/>
      <c r="F262" s="2465"/>
      <c r="G262" s="1381">
        <f>ROUNDUP(F261,2)</f>
        <v>8.4</v>
      </c>
    </row>
    <row r="263" spans="1:7" ht="15.75" thickBot="1">
      <c r="A263" s="2509"/>
      <c r="B263" s="2510"/>
      <c r="C263" s="2510"/>
      <c r="D263" s="2510"/>
      <c r="E263" s="2510"/>
      <c r="F263" s="2510"/>
      <c r="G263" s="2511"/>
    </row>
    <row r="264" spans="1:7" ht="15.75" thickBot="1">
      <c r="A264" s="1299" t="s">
        <v>1829</v>
      </c>
      <c r="B264" s="2366" t="s">
        <v>1827</v>
      </c>
      <c r="C264" s="2367"/>
      <c r="D264" s="2367"/>
      <c r="E264" s="2367"/>
      <c r="F264" s="2367"/>
      <c r="G264" s="2368"/>
    </row>
    <row r="265" spans="1:7">
      <c r="A265" s="2369" t="s">
        <v>306</v>
      </c>
      <c r="B265" s="2370"/>
      <c r="C265" s="2370"/>
      <c r="D265" s="2370"/>
      <c r="E265" s="2370"/>
      <c r="F265" s="2370"/>
      <c r="G265" s="2371"/>
    </row>
    <row r="266" spans="1:7">
      <c r="A266" s="2372" t="s">
        <v>328</v>
      </c>
      <c r="B266" s="2373"/>
      <c r="C266" s="2373"/>
      <c r="D266" s="2373"/>
      <c r="E266" s="2373"/>
      <c r="F266" s="2373"/>
      <c r="G266" s="2374"/>
    </row>
    <row r="267" spans="1:7">
      <c r="A267" s="1313" t="s">
        <v>311</v>
      </c>
      <c r="B267" s="1314" t="s">
        <v>329</v>
      </c>
      <c r="C267" s="1314" t="s">
        <v>330</v>
      </c>
      <c r="D267" s="1314" t="s">
        <v>324</v>
      </c>
      <c r="E267" s="1314" t="s">
        <v>281</v>
      </c>
      <c r="F267" s="2429" t="s">
        <v>331</v>
      </c>
      <c r="G267" s="2431"/>
    </row>
    <row r="268" spans="1:7">
      <c r="A268" s="1393" t="s">
        <v>1830</v>
      </c>
      <c r="B268" s="1317">
        <v>0.9</v>
      </c>
      <c r="C268" s="1418">
        <v>2.1</v>
      </c>
      <c r="D268" s="1418">
        <f>ROUNDUP(B268*C268,2)</f>
        <v>1.89</v>
      </c>
      <c r="E268" s="1418">
        <v>1</v>
      </c>
      <c r="F268" s="2505">
        <f>E268*D268</f>
        <v>1.89</v>
      </c>
      <c r="G268" s="2506"/>
    </row>
    <row r="269" spans="1:7" ht="15.75" thickBot="1">
      <c r="A269" s="2507" t="s">
        <v>325</v>
      </c>
      <c r="B269" s="2464"/>
      <c r="C269" s="2464"/>
      <c r="D269" s="2464"/>
      <c r="E269" s="2464"/>
      <c r="F269" s="2465"/>
      <c r="G269" s="1381">
        <f>ROUNDUP(F268,2)</f>
        <v>1.89</v>
      </c>
    </row>
    <row r="270" spans="1:7" ht="15.75" thickBot="1">
      <c r="A270" s="2509"/>
      <c r="B270" s="2510"/>
      <c r="C270" s="2510"/>
      <c r="D270" s="2510"/>
      <c r="E270" s="2510"/>
      <c r="F270" s="2510"/>
      <c r="G270" s="2511"/>
    </row>
    <row r="271" spans="1:7" ht="15.75" thickBot="1">
      <c r="A271" s="1299" t="s">
        <v>1831</v>
      </c>
      <c r="B271" s="2366" t="s">
        <v>629</v>
      </c>
      <c r="C271" s="2367"/>
      <c r="D271" s="2367"/>
      <c r="E271" s="2367"/>
      <c r="F271" s="2367"/>
      <c r="G271" s="2368"/>
    </row>
    <row r="272" spans="1:7">
      <c r="A272" s="2369" t="s">
        <v>306</v>
      </c>
      <c r="B272" s="2370"/>
      <c r="C272" s="2370"/>
      <c r="D272" s="2370"/>
      <c r="E272" s="2370"/>
      <c r="F272" s="2370"/>
      <c r="G272" s="2371"/>
    </row>
    <row r="273" spans="1:7">
      <c r="A273" s="2372" t="s">
        <v>328</v>
      </c>
      <c r="B273" s="2373"/>
      <c r="C273" s="2373"/>
      <c r="D273" s="2373"/>
      <c r="E273" s="2373"/>
      <c r="F273" s="2373"/>
      <c r="G273" s="2374"/>
    </row>
    <row r="274" spans="1:7">
      <c r="A274" s="1313" t="s">
        <v>311</v>
      </c>
      <c r="B274" s="1314" t="s">
        <v>329</v>
      </c>
      <c r="C274" s="1314" t="s">
        <v>330</v>
      </c>
      <c r="D274" s="1314" t="s">
        <v>324</v>
      </c>
      <c r="E274" s="1314" t="s">
        <v>281</v>
      </c>
      <c r="F274" s="2429" t="s">
        <v>331</v>
      </c>
      <c r="G274" s="2431"/>
    </row>
    <row r="275" spans="1:7">
      <c r="A275" s="1393" t="s">
        <v>630</v>
      </c>
      <c r="B275" s="1317">
        <v>1.5</v>
      </c>
      <c r="C275" s="1418">
        <v>2.4500000000000002</v>
      </c>
      <c r="D275" s="1418">
        <f>ROUNDUP(B275*C275,2)</f>
        <v>3.6799999999999997</v>
      </c>
      <c r="E275" s="1418">
        <v>1</v>
      </c>
      <c r="F275" s="2505">
        <f>E275*D275</f>
        <v>3.6799999999999997</v>
      </c>
      <c r="G275" s="2506"/>
    </row>
    <row r="276" spans="1:7" ht="15.75" thickBot="1">
      <c r="A276" s="2507" t="s">
        <v>325</v>
      </c>
      <c r="B276" s="2464"/>
      <c r="C276" s="2464"/>
      <c r="D276" s="2464"/>
      <c r="E276" s="2464"/>
      <c r="F276" s="2465"/>
      <c r="G276" s="1381">
        <f>ROUNDUP(F275,2)</f>
        <v>3.68</v>
      </c>
    </row>
    <row r="277" spans="1:7" ht="15.75" thickBot="1">
      <c r="A277" s="1415"/>
      <c r="B277" s="1416"/>
      <c r="C277" s="1364"/>
      <c r="D277" s="1364"/>
      <c r="E277" s="1364"/>
      <c r="F277" s="1364"/>
      <c r="G277" s="1384"/>
    </row>
    <row r="278" spans="1:7" ht="15.75" thickBot="1">
      <c r="A278" s="1299" t="s">
        <v>1832</v>
      </c>
      <c r="B278" s="2366" t="s">
        <v>631</v>
      </c>
      <c r="C278" s="2367"/>
      <c r="D278" s="2367"/>
      <c r="E278" s="2367"/>
      <c r="F278" s="2367"/>
      <c r="G278" s="2368"/>
    </row>
    <row r="279" spans="1:7">
      <c r="A279" s="2369" t="s">
        <v>306</v>
      </c>
      <c r="B279" s="2370"/>
      <c r="C279" s="2370"/>
      <c r="D279" s="2370"/>
      <c r="E279" s="2370"/>
      <c r="F279" s="2370"/>
      <c r="G279" s="2371"/>
    </row>
    <row r="280" spans="1:7">
      <c r="A280" s="2372" t="s">
        <v>328</v>
      </c>
      <c r="B280" s="2373"/>
      <c r="C280" s="2373"/>
      <c r="D280" s="2373"/>
      <c r="E280" s="2373"/>
      <c r="F280" s="2373"/>
      <c r="G280" s="2374"/>
    </row>
    <row r="281" spans="1:7">
      <c r="A281" s="1313" t="s">
        <v>311</v>
      </c>
      <c r="B281" s="1314" t="s">
        <v>329</v>
      </c>
      <c r="C281" s="1314" t="s">
        <v>330</v>
      </c>
      <c r="D281" s="1314" t="s">
        <v>324</v>
      </c>
      <c r="E281" s="1314" t="s">
        <v>281</v>
      </c>
      <c r="F281" s="2429" t="s">
        <v>331</v>
      </c>
      <c r="G281" s="2431"/>
    </row>
    <row r="282" spans="1:7">
      <c r="A282" s="1393" t="s">
        <v>632</v>
      </c>
      <c r="B282" s="1317">
        <v>3.9</v>
      </c>
      <c r="C282" s="1418">
        <v>2.4500000000000002</v>
      </c>
      <c r="D282" s="1418">
        <f>ROUNDUP(B282*C282,2)</f>
        <v>9.56</v>
      </c>
      <c r="E282" s="1418">
        <v>2</v>
      </c>
      <c r="F282" s="2505">
        <f>E282*D282</f>
        <v>19.12</v>
      </c>
      <c r="G282" s="2506"/>
    </row>
    <row r="283" spans="1:7" ht="15.75" thickBot="1">
      <c r="A283" s="2507" t="s">
        <v>325</v>
      </c>
      <c r="B283" s="2464"/>
      <c r="C283" s="2464"/>
      <c r="D283" s="2464"/>
      <c r="E283" s="2464"/>
      <c r="F283" s="2465"/>
      <c r="G283" s="1381">
        <f>ROUNDUP(F282,2)</f>
        <v>19.12</v>
      </c>
    </row>
    <row r="284" spans="1:7" ht="15.75" thickBot="1">
      <c r="A284" s="1415"/>
      <c r="B284" s="1416"/>
      <c r="C284" s="1364"/>
      <c r="D284" s="1364"/>
      <c r="E284" s="1364"/>
      <c r="F284" s="1364"/>
      <c r="G284" s="1384"/>
    </row>
    <row r="285" spans="1:7" ht="15.75" thickBot="1">
      <c r="A285" s="1299" t="s">
        <v>1833</v>
      </c>
      <c r="B285" s="2366" t="s">
        <v>1834</v>
      </c>
      <c r="C285" s="2367"/>
      <c r="D285" s="2367"/>
      <c r="E285" s="2367"/>
      <c r="F285" s="2367"/>
      <c r="G285" s="2368"/>
    </row>
    <row r="286" spans="1:7">
      <c r="A286" s="2369" t="s">
        <v>306</v>
      </c>
      <c r="B286" s="2370"/>
      <c r="C286" s="2370"/>
      <c r="D286" s="2370"/>
      <c r="E286" s="2370"/>
      <c r="F286" s="2370"/>
      <c r="G286" s="2371"/>
    </row>
    <row r="287" spans="1:7">
      <c r="A287" s="2372" t="s">
        <v>328</v>
      </c>
      <c r="B287" s="2373"/>
      <c r="C287" s="2373"/>
      <c r="D287" s="2373"/>
      <c r="E287" s="2373"/>
      <c r="F287" s="2373"/>
      <c r="G287" s="2374"/>
    </row>
    <row r="288" spans="1:7">
      <c r="A288" s="1313" t="s">
        <v>311</v>
      </c>
      <c r="B288" s="1314" t="s">
        <v>329</v>
      </c>
      <c r="C288" s="1314" t="s">
        <v>330</v>
      </c>
      <c r="D288" s="1314" t="s">
        <v>324</v>
      </c>
      <c r="E288" s="1314" t="s">
        <v>281</v>
      </c>
      <c r="F288" s="2429" t="s">
        <v>331</v>
      </c>
      <c r="G288" s="2431"/>
    </row>
    <row r="289" spans="1:7">
      <c r="A289" s="1393" t="s">
        <v>1835</v>
      </c>
      <c r="B289" s="1317">
        <v>1.1000000000000001</v>
      </c>
      <c r="C289" s="1418">
        <v>0.6</v>
      </c>
      <c r="D289" s="1418">
        <f>ROUNDUP(B289*C289,2)</f>
        <v>0.66</v>
      </c>
      <c r="E289" s="1418">
        <v>11</v>
      </c>
      <c r="F289" s="2505">
        <f>E289*D289</f>
        <v>7.2600000000000007</v>
      </c>
      <c r="G289" s="2506"/>
    </row>
    <row r="290" spans="1:7" ht="15.75" thickBot="1">
      <c r="A290" s="2507" t="s">
        <v>325</v>
      </c>
      <c r="B290" s="2464"/>
      <c r="C290" s="2464"/>
      <c r="D290" s="2464"/>
      <c r="E290" s="2464"/>
      <c r="F290" s="2465"/>
      <c r="G290" s="1381">
        <f>ROUNDUP(F289,2)</f>
        <v>7.26</v>
      </c>
    </row>
    <row r="291" spans="1:7" ht="15.75" thickBot="1">
      <c r="A291" s="1415"/>
      <c r="B291" s="1416"/>
      <c r="C291" s="1364"/>
      <c r="D291" s="1364"/>
      <c r="E291" s="1364"/>
      <c r="F291" s="1364"/>
      <c r="G291" s="1384"/>
    </row>
    <row r="292" spans="1:7" ht="15.75" thickBot="1">
      <c r="A292" s="1299" t="s">
        <v>1836</v>
      </c>
      <c r="B292" s="2366" t="s">
        <v>1834</v>
      </c>
      <c r="C292" s="2367"/>
      <c r="D292" s="2367"/>
      <c r="E292" s="2367"/>
      <c r="F292" s="2367"/>
      <c r="G292" s="2368"/>
    </row>
    <row r="293" spans="1:7">
      <c r="A293" s="2369" t="s">
        <v>306</v>
      </c>
      <c r="B293" s="2370"/>
      <c r="C293" s="2370"/>
      <c r="D293" s="2370"/>
      <c r="E293" s="2370"/>
      <c r="F293" s="2370"/>
      <c r="G293" s="2371"/>
    </row>
    <row r="294" spans="1:7">
      <c r="A294" s="2372" t="s">
        <v>328</v>
      </c>
      <c r="B294" s="2373"/>
      <c r="C294" s="2373"/>
      <c r="D294" s="2373"/>
      <c r="E294" s="2373"/>
      <c r="F294" s="2373"/>
      <c r="G294" s="2374"/>
    </row>
    <row r="295" spans="1:7">
      <c r="A295" s="1313" t="s">
        <v>311</v>
      </c>
      <c r="B295" s="1314" t="s">
        <v>329</v>
      </c>
      <c r="C295" s="1314" t="s">
        <v>330</v>
      </c>
      <c r="D295" s="1314" t="s">
        <v>324</v>
      </c>
      <c r="E295" s="1314" t="s">
        <v>281</v>
      </c>
      <c r="F295" s="2429" t="s">
        <v>331</v>
      </c>
      <c r="G295" s="2431"/>
    </row>
    <row r="296" spans="1:7">
      <c r="A296" s="1393" t="s">
        <v>1837</v>
      </c>
      <c r="B296" s="1317">
        <v>2.2999999999999998</v>
      </c>
      <c r="C296" s="1418">
        <v>1.1000000000000001</v>
      </c>
      <c r="D296" s="1418">
        <f>ROUNDUP(B296*C296,2)</f>
        <v>2.5299999999999998</v>
      </c>
      <c r="E296" s="1418">
        <v>6</v>
      </c>
      <c r="F296" s="2505">
        <f>E296*D296</f>
        <v>15.18</v>
      </c>
      <c r="G296" s="2506"/>
    </row>
    <row r="297" spans="1:7" ht="15.75" thickBot="1">
      <c r="A297" s="2507" t="s">
        <v>325</v>
      </c>
      <c r="B297" s="2464"/>
      <c r="C297" s="2464"/>
      <c r="D297" s="2464"/>
      <c r="E297" s="2464"/>
      <c r="F297" s="2465"/>
      <c r="G297" s="1381">
        <f>ROUNDUP(F296,2)</f>
        <v>15.18</v>
      </c>
    </row>
    <row r="298" spans="1:7" ht="15.75" thickBot="1">
      <c r="A298" s="1415"/>
      <c r="B298" s="1416"/>
      <c r="C298" s="1364"/>
      <c r="D298" s="1364"/>
      <c r="E298" s="1364"/>
      <c r="F298" s="1364"/>
      <c r="G298" s="1384"/>
    </row>
    <row r="299" spans="1:7" ht="15.75" thickBot="1">
      <c r="A299" s="1299" t="s">
        <v>1838</v>
      </c>
      <c r="B299" s="2366" t="s">
        <v>1839</v>
      </c>
      <c r="C299" s="2367"/>
      <c r="D299" s="2367"/>
      <c r="E299" s="2367"/>
      <c r="F299" s="2367"/>
      <c r="G299" s="2368"/>
    </row>
    <row r="300" spans="1:7">
      <c r="A300" s="2369" t="s">
        <v>306</v>
      </c>
      <c r="B300" s="2370"/>
      <c r="C300" s="2370"/>
      <c r="D300" s="2370"/>
      <c r="E300" s="2370"/>
      <c r="F300" s="2370"/>
      <c r="G300" s="2371"/>
    </row>
    <row r="301" spans="1:7">
      <c r="A301" s="2372" t="s">
        <v>328</v>
      </c>
      <c r="B301" s="2373"/>
      <c r="C301" s="2373"/>
      <c r="D301" s="2373"/>
      <c r="E301" s="2373"/>
      <c r="F301" s="2373"/>
      <c r="G301" s="2374"/>
    </row>
    <row r="302" spans="1:7">
      <c r="A302" s="1313" t="s">
        <v>311</v>
      </c>
      <c r="B302" s="1314" t="s">
        <v>329</v>
      </c>
      <c r="C302" s="1314" t="s">
        <v>330</v>
      </c>
      <c r="D302" s="1314" t="s">
        <v>324</v>
      </c>
      <c r="E302" s="1314" t="s">
        <v>281</v>
      </c>
      <c r="F302" s="2429" t="s">
        <v>331</v>
      </c>
      <c r="G302" s="2431"/>
    </row>
    <row r="303" spans="1:7">
      <c r="A303" s="1393" t="s">
        <v>336</v>
      </c>
      <c r="B303" s="1317">
        <v>2.2000000000000002</v>
      </c>
      <c r="C303" s="1418">
        <v>1.1000000000000001</v>
      </c>
      <c r="D303" s="1418">
        <f>ROUNDUP(B303*C303,2)</f>
        <v>2.42</v>
      </c>
      <c r="E303" s="1418">
        <v>2</v>
      </c>
      <c r="F303" s="2505">
        <f>E303*D303</f>
        <v>4.84</v>
      </c>
      <c r="G303" s="2506"/>
    </row>
    <row r="304" spans="1:7" ht="15.75" thickBot="1">
      <c r="A304" s="2507" t="s">
        <v>325</v>
      </c>
      <c r="B304" s="2464"/>
      <c r="C304" s="2464"/>
      <c r="D304" s="2464"/>
      <c r="E304" s="2464"/>
      <c r="F304" s="2465"/>
      <c r="G304" s="1381">
        <f>ROUNDUP(F303,2)</f>
        <v>4.84</v>
      </c>
    </row>
    <row r="305" spans="1:7" ht="15.75" thickBot="1">
      <c r="A305" s="1415"/>
      <c r="B305" s="1416"/>
      <c r="C305" s="1364"/>
      <c r="D305" s="1364"/>
      <c r="E305" s="1364"/>
      <c r="F305" s="1364"/>
      <c r="G305" s="1384"/>
    </row>
    <row r="306" spans="1:7" ht="15.75" thickBot="1">
      <c r="A306" s="1299" t="s">
        <v>1840</v>
      </c>
      <c r="B306" s="2366" t="s">
        <v>1834</v>
      </c>
      <c r="C306" s="2367"/>
      <c r="D306" s="2367"/>
      <c r="E306" s="2367"/>
      <c r="F306" s="2367"/>
      <c r="G306" s="2368"/>
    </row>
    <row r="307" spans="1:7">
      <c r="A307" s="2369" t="s">
        <v>306</v>
      </c>
      <c r="B307" s="2370"/>
      <c r="C307" s="2370"/>
      <c r="D307" s="2370"/>
      <c r="E307" s="2370"/>
      <c r="F307" s="2370"/>
      <c r="G307" s="2371"/>
    </row>
    <row r="308" spans="1:7">
      <c r="A308" s="2372" t="s">
        <v>328</v>
      </c>
      <c r="B308" s="2373"/>
      <c r="C308" s="2373"/>
      <c r="D308" s="2373"/>
      <c r="E308" s="2373"/>
      <c r="F308" s="2373"/>
      <c r="G308" s="2374"/>
    </row>
    <row r="309" spans="1:7">
      <c r="A309" s="1313" t="s">
        <v>311</v>
      </c>
      <c r="B309" s="1314" t="s">
        <v>329</v>
      </c>
      <c r="C309" s="1314" t="s">
        <v>330</v>
      </c>
      <c r="D309" s="1314" t="s">
        <v>324</v>
      </c>
      <c r="E309" s="1314" t="s">
        <v>281</v>
      </c>
      <c r="F309" s="2429" t="s">
        <v>331</v>
      </c>
      <c r="G309" s="2431"/>
    </row>
    <row r="310" spans="1:7">
      <c r="A310" s="1393" t="s">
        <v>1841</v>
      </c>
      <c r="B310" s="1317">
        <v>1.2</v>
      </c>
      <c r="C310" s="1418">
        <v>1.6</v>
      </c>
      <c r="D310" s="1418">
        <f>ROUNDUP(B310*C310,2)</f>
        <v>1.92</v>
      </c>
      <c r="E310" s="1418">
        <v>1</v>
      </c>
      <c r="F310" s="2505">
        <f>E310*D310</f>
        <v>1.92</v>
      </c>
      <c r="G310" s="2506"/>
    </row>
    <row r="311" spans="1:7" ht="15.75" thickBot="1">
      <c r="A311" s="2507" t="s">
        <v>325</v>
      </c>
      <c r="B311" s="2464"/>
      <c r="C311" s="2464"/>
      <c r="D311" s="2464"/>
      <c r="E311" s="2464"/>
      <c r="F311" s="2465"/>
      <c r="G311" s="1381">
        <f>ROUNDUP(F310,2)</f>
        <v>1.92</v>
      </c>
    </row>
    <row r="312" spans="1:7" ht="15.75" thickBot="1">
      <c r="A312" s="1415"/>
      <c r="B312" s="1416"/>
      <c r="C312" s="1364"/>
      <c r="D312" s="1364"/>
      <c r="E312" s="1364"/>
      <c r="F312" s="1364"/>
      <c r="G312" s="1384"/>
    </row>
    <row r="313" spans="1:7" ht="15.75" thickBot="1">
      <c r="A313" s="1299" t="s">
        <v>1842</v>
      </c>
      <c r="B313" s="2366" t="s">
        <v>1834</v>
      </c>
      <c r="C313" s="2367"/>
      <c r="D313" s="2367"/>
      <c r="E313" s="2367"/>
      <c r="F313" s="2367"/>
      <c r="G313" s="2368"/>
    </row>
    <row r="314" spans="1:7">
      <c r="A314" s="2369" t="s">
        <v>306</v>
      </c>
      <c r="B314" s="2370"/>
      <c r="C314" s="2370"/>
      <c r="D314" s="2370"/>
      <c r="E314" s="2370"/>
      <c r="F314" s="2370"/>
      <c r="G314" s="2371"/>
    </row>
    <row r="315" spans="1:7">
      <c r="A315" s="2372" t="s">
        <v>328</v>
      </c>
      <c r="B315" s="2373"/>
      <c r="C315" s="2373"/>
      <c r="D315" s="2373"/>
      <c r="E315" s="2373"/>
      <c r="F315" s="2373"/>
      <c r="G315" s="2374"/>
    </row>
    <row r="316" spans="1:7">
      <c r="A316" s="1313" t="s">
        <v>311</v>
      </c>
      <c r="B316" s="1314" t="s">
        <v>329</v>
      </c>
      <c r="C316" s="1314" t="s">
        <v>330</v>
      </c>
      <c r="D316" s="1314" t="s">
        <v>324</v>
      </c>
      <c r="E316" s="1314" t="s">
        <v>281</v>
      </c>
      <c r="F316" s="2429" t="s">
        <v>331</v>
      </c>
      <c r="G316" s="2431"/>
    </row>
    <row r="317" spans="1:7">
      <c r="A317" s="1393" t="s">
        <v>1843</v>
      </c>
      <c r="B317" s="1317">
        <v>0.4</v>
      </c>
      <c r="C317" s="1418">
        <v>0.6</v>
      </c>
      <c r="D317" s="1418">
        <f>ROUNDUP(B317*C317,2)</f>
        <v>0.24</v>
      </c>
      <c r="E317" s="1418">
        <v>2</v>
      </c>
      <c r="F317" s="2505">
        <f>E317*D317</f>
        <v>0.48</v>
      </c>
      <c r="G317" s="2506"/>
    </row>
    <row r="318" spans="1:7" ht="15.75" thickBot="1">
      <c r="A318" s="2507" t="s">
        <v>325</v>
      </c>
      <c r="B318" s="2464"/>
      <c r="C318" s="2464"/>
      <c r="D318" s="2464"/>
      <c r="E318" s="2464"/>
      <c r="F318" s="2465"/>
      <c r="G318" s="1381">
        <f>ROUNDUP(F317,2)</f>
        <v>0.48</v>
      </c>
    </row>
    <row r="319" spans="1:7" ht="15.75" thickBot="1">
      <c r="A319" s="1415"/>
      <c r="B319" s="1416"/>
      <c r="C319" s="1364"/>
      <c r="D319" s="1364"/>
      <c r="E319" s="1364"/>
      <c r="F319" s="1364"/>
      <c r="G319" s="1384"/>
    </row>
    <row r="320" spans="1:7" ht="15.75" thickBot="1">
      <c r="A320" s="1299" t="s">
        <v>1844</v>
      </c>
      <c r="B320" s="2366" t="s">
        <v>1845</v>
      </c>
      <c r="C320" s="2367"/>
      <c r="D320" s="2367"/>
      <c r="E320" s="2367"/>
      <c r="F320" s="2367"/>
      <c r="G320" s="2368"/>
    </row>
    <row r="321" spans="1:7">
      <c r="A321" s="2411" t="s">
        <v>306</v>
      </c>
      <c r="B321" s="2412"/>
      <c r="C321" s="2412"/>
      <c r="D321" s="2412"/>
      <c r="E321" s="2412"/>
      <c r="F321" s="2412"/>
      <c r="G321" s="2413"/>
    </row>
    <row r="322" spans="1:7">
      <c r="A322" s="2372" t="s">
        <v>1846</v>
      </c>
      <c r="B322" s="2373"/>
      <c r="C322" s="2373"/>
      <c r="D322" s="2373"/>
      <c r="E322" s="2373"/>
      <c r="F322" s="2373"/>
      <c r="G322" s="2374"/>
    </row>
    <row r="323" spans="1:7">
      <c r="A323" s="1313" t="s">
        <v>1847</v>
      </c>
      <c r="B323" s="1314" t="s">
        <v>1786</v>
      </c>
      <c r="C323" s="1314" t="s">
        <v>1848</v>
      </c>
      <c r="D323" s="1314" t="s">
        <v>281</v>
      </c>
      <c r="E323" s="1314" t="s">
        <v>337</v>
      </c>
      <c r="F323" s="2429"/>
      <c r="G323" s="2431"/>
    </row>
    <row r="324" spans="1:7">
      <c r="A324" s="1393" t="s">
        <v>1835</v>
      </c>
      <c r="B324" s="1317">
        <v>0.2</v>
      </c>
      <c r="C324" s="1317">
        <v>1.1000000000000001</v>
      </c>
      <c r="D324" s="1395">
        <v>11</v>
      </c>
      <c r="E324" s="1419">
        <f>C324*D324</f>
        <v>12.100000000000001</v>
      </c>
      <c r="F324" s="2512" t="s">
        <v>1849</v>
      </c>
      <c r="G324" s="2513"/>
    </row>
    <row r="325" spans="1:7">
      <c r="A325" s="1393" t="s">
        <v>1837</v>
      </c>
      <c r="B325" s="1317">
        <v>0.2</v>
      </c>
      <c r="C325" s="1317">
        <v>2.2999999999999998</v>
      </c>
      <c r="D325" s="1395">
        <v>6</v>
      </c>
      <c r="E325" s="1419">
        <f>C325*D325</f>
        <v>13.799999999999999</v>
      </c>
      <c r="F325" s="2475"/>
      <c r="G325" s="2477"/>
    </row>
    <row r="326" spans="1:7">
      <c r="A326" s="1393" t="s">
        <v>336</v>
      </c>
      <c r="B326" s="1317">
        <v>0.2</v>
      </c>
      <c r="C326" s="1317">
        <v>2.2000000000000002</v>
      </c>
      <c r="D326" s="1395">
        <v>2</v>
      </c>
      <c r="E326" s="1419">
        <f>C326*D326</f>
        <v>4.4000000000000004</v>
      </c>
      <c r="F326" s="2475"/>
      <c r="G326" s="2477"/>
    </row>
    <row r="327" spans="1:7">
      <c r="A327" s="1393" t="s">
        <v>1841</v>
      </c>
      <c r="B327" s="1317">
        <v>0.2</v>
      </c>
      <c r="C327" s="1317">
        <v>1.2</v>
      </c>
      <c r="D327" s="1395">
        <v>1</v>
      </c>
      <c r="E327" s="1419">
        <f>C327*D327</f>
        <v>1.2</v>
      </c>
      <c r="F327" s="2475"/>
      <c r="G327" s="2477"/>
    </row>
    <row r="328" spans="1:7" ht="15.75" thickBot="1">
      <c r="A328" s="2507" t="s">
        <v>310</v>
      </c>
      <c r="B328" s="2464"/>
      <c r="C328" s="2464"/>
      <c r="D328" s="2465"/>
      <c r="E328" s="1411">
        <f>SUM(E324:E327)</f>
        <v>31.499999999999996</v>
      </c>
      <c r="F328" s="1420"/>
      <c r="G328" s="1421"/>
    </row>
    <row r="329" spans="1:7" ht="15.75" thickBot="1">
      <c r="A329" s="1284"/>
      <c r="B329" s="1285"/>
      <c r="C329" s="1285"/>
      <c r="D329" s="1285"/>
      <c r="E329" s="1285"/>
      <c r="F329" s="1285"/>
      <c r="G329" s="1286"/>
    </row>
    <row r="330" spans="1:7" ht="15.75" thickBot="1">
      <c r="A330" s="1299" t="s">
        <v>1850</v>
      </c>
      <c r="B330" s="2366" t="s">
        <v>633</v>
      </c>
      <c r="C330" s="2367"/>
      <c r="D330" s="2367"/>
      <c r="E330" s="2367"/>
      <c r="F330" s="2367"/>
      <c r="G330" s="2368"/>
    </row>
    <row r="331" spans="1:7">
      <c r="A331" s="2435" t="s">
        <v>306</v>
      </c>
      <c r="B331" s="2436"/>
      <c r="C331" s="2436"/>
      <c r="D331" s="2436"/>
      <c r="E331" s="2436"/>
      <c r="F331" s="2436"/>
      <c r="G331" s="2437"/>
    </row>
    <row r="332" spans="1:7" ht="15.75" thickBot="1">
      <c r="A332" s="2432" t="s">
        <v>1846</v>
      </c>
      <c r="B332" s="2433"/>
      <c r="C332" s="2433"/>
      <c r="D332" s="2433"/>
      <c r="E332" s="2433"/>
      <c r="F332" s="2433"/>
      <c r="G332" s="2434"/>
    </row>
    <row r="333" spans="1:7">
      <c r="A333" s="1313" t="s">
        <v>321</v>
      </c>
      <c r="B333" s="1314" t="s">
        <v>617</v>
      </c>
      <c r="C333" s="1315" t="s">
        <v>1786</v>
      </c>
      <c r="D333" s="1314" t="s">
        <v>313</v>
      </c>
      <c r="E333" s="2429" t="s">
        <v>309</v>
      </c>
      <c r="F333" s="2430"/>
      <c r="G333" s="2431"/>
    </row>
    <row r="334" spans="1:7" ht="15.75" thickBot="1">
      <c r="A334" s="1422" t="s">
        <v>1851</v>
      </c>
      <c r="B334" s="1423">
        <f>5.4+2.9</f>
        <v>8.3000000000000007</v>
      </c>
      <c r="C334" s="1424">
        <v>0.05</v>
      </c>
      <c r="D334" s="1423">
        <f>B334*C334</f>
        <v>0.41500000000000004</v>
      </c>
      <c r="E334" s="2433"/>
      <c r="F334" s="2433"/>
      <c r="G334" s="2434"/>
    </row>
    <row r="335" spans="1:7" ht="15.75" thickBot="1">
      <c r="A335" s="1284"/>
      <c r="B335" s="1285"/>
      <c r="C335" s="1285"/>
      <c r="D335" s="1285"/>
      <c r="E335" s="1285"/>
      <c r="F335" s="1285"/>
      <c r="G335" s="1286"/>
    </row>
    <row r="336" spans="1:7" ht="15.75" thickBot="1">
      <c r="A336" s="1299" t="s">
        <v>1852</v>
      </c>
      <c r="B336" s="2366" t="s">
        <v>1853</v>
      </c>
      <c r="C336" s="2367"/>
      <c r="D336" s="2367"/>
      <c r="E336" s="2367"/>
      <c r="F336" s="2367"/>
      <c r="G336" s="2368"/>
    </row>
    <row r="337" spans="1:7">
      <c r="A337" s="2411" t="s">
        <v>306</v>
      </c>
      <c r="B337" s="2412"/>
      <c r="C337" s="2412"/>
      <c r="D337" s="2412"/>
      <c r="E337" s="2412"/>
      <c r="F337" s="2412"/>
      <c r="G337" s="2413"/>
    </row>
    <row r="338" spans="1:7">
      <c r="A338" s="2372" t="s">
        <v>1846</v>
      </c>
      <c r="B338" s="2373"/>
      <c r="C338" s="2373"/>
      <c r="D338" s="2373"/>
      <c r="E338" s="2373"/>
      <c r="F338" s="2373"/>
      <c r="G338" s="2374"/>
    </row>
    <row r="339" spans="1:7">
      <c r="A339" s="1313" t="s">
        <v>1847</v>
      </c>
      <c r="B339" s="1314" t="s">
        <v>1786</v>
      </c>
      <c r="C339" s="1314" t="s">
        <v>1848</v>
      </c>
      <c r="D339" s="1314" t="s">
        <v>281</v>
      </c>
      <c r="E339" s="1314" t="s">
        <v>337</v>
      </c>
      <c r="F339" s="2429"/>
      <c r="G339" s="2431"/>
    </row>
    <row r="340" spans="1:7">
      <c r="A340" s="1393" t="s">
        <v>332</v>
      </c>
      <c r="B340" s="1394">
        <v>0.16</v>
      </c>
      <c r="C340" s="1394">
        <v>1.3</v>
      </c>
      <c r="D340" s="1406">
        <v>1</v>
      </c>
      <c r="E340" s="1407">
        <f>C340*D340</f>
        <v>1.3</v>
      </c>
      <c r="F340" s="2512" t="s">
        <v>1854</v>
      </c>
      <c r="G340" s="2513"/>
    </row>
    <row r="341" spans="1:7">
      <c r="A341" s="1393" t="s">
        <v>335</v>
      </c>
      <c r="B341" s="1394">
        <v>0.16</v>
      </c>
      <c r="C341" s="1394">
        <v>0.9</v>
      </c>
      <c r="D341" s="1317">
        <v>1</v>
      </c>
      <c r="E341" s="1407">
        <f>C341*D341</f>
        <v>0.9</v>
      </c>
      <c r="F341" s="2475"/>
      <c r="G341" s="2477"/>
    </row>
    <row r="342" spans="1:7">
      <c r="A342" s="1393" t="s">
        <v>1830</v>
      </c>
      <c r="B342" s="1394">
        <v>0.16</v>
      </c>
      <c r="C342" s="1394">
        <v>1.6</v>
      </c>
      <c r="D342" s="1317">
        <v>1</v>
      </c>
      <c r="E342" s="1407">
        <f>C342*D342</f>
        <v>1.6</v>
      </c>
      <c r="F342" s="2514"/>
      <c r="G342" s="2371"/>
    </row>
    <row r="343" spans="1:7" ht="15.75" thickBot="1">
      <c r="A343" s="2507" t="s">
        <v>310</v>
      </c>
      <c r="B343" s="2464"/>
      <c r="C343" s="2464"/>
      <c r="D343" s="2465"/>
      <c r="E343" s="1411">
        <f>ROUNDUP(E340+E341+E342,2)</f>
        <v>3.8</v>
      </c>
      <c r="F343" s="1425"/>
      <c r="G343" s="1426"/>
    </row>
    <row r="344" spans="1:7" ht="15.75" thickBot="1">
      <c r="A344" s="1284"/>
      <c r="B344" s="1285"/>
      <c r="C344" s="1285"/>
      <c r="D344" s="1285"/>
      <c r="E344" s="1285"/>
      <c r="F344" s="1285"/>
      <c r="G344" s="1286"/>
    </row>
    <row r="345" spans="1:7" ht="15.75" thickBot="1">
      <c r="A345" s="1299" t="s">
        <v>1855</v>
      </c>
      <c r="B345" s="2366" t="s">
        <v>1856</v>
      </c>
      <c r="C345" s="2367"/>
      <c r="D345" s="2367"/>
      <c r="E345" s="2367"/>
      <c r="F345" s="2367"/>
      <c r="G345" s="2368"/>
    </row>
    <row r="346" spans="1:7" ht="15.75" thickBot="1">
      <c r="A346" s="1299" t="s">
        <v>76</v>
      </c>
      <c r="B346" s="2366" t="s">
        <v>1857</v>
      </c>
      <c r="C346" s="2367"/>
      <c r="D346" s="2367"/>
      <c r="E346" s="2367"/>
      <c r="F346" s="2367"/>
      <c r="G346" s="2368"/>
    </row>
    <row r="347" spans="1:7">
      <c r="A347" s="2369" t="s">
        <v>306</v>
      </c>
      <c r="B347" s="2370"/>
      <c r="C347" s="2370"/>
      <c r="D347" s="2370"/>
      <c r="E347" s="2370"/>
      <c r="F347" s="2370"/>
      <c r="G347" s="2371"/>
    </row>
    <row r="348" spans="1:7">
      <c r="A348" s="2488" t="s">
        <v>1858</v>
      </c>
      <c r="B348" s="2489"/>
      <c r="C348" s="2489"/>
      <c r="D348" s="2489"/>
      <c r="E348" s="2489"/>
      <c r="F348" s="2489"/>
      <c r="G348" s="2490"/>
    </row>
    <row r="349" spans="1:7">
      <c r="A349" s="2488"/>
      <c r="B349" s="2489"/>
      <c r="C349" s="2489"/>
      <c r="D349" s="2489"/>
      <c r="E349" s="2489"/>
      <c r="F349" s="2489"/>
      <c r="G349" s="2490"/>
    </row>
    <row r="350" spans="1:7">
      <c r="A350" s="1345"/>
      <c r="B350" s="1346"/>
      <c r="C350" s="1346"/>
      <c r="D350" s="1346"/>
      <c r="E350" s="1346"/>
      <c r="F350" s="1346"/>
      <c r="G350" s="1347"/>
    </row>
    <row r="351" spans="1:7">
      <c r="A351" s="1345"/>
      <c r="B351" s="1346"/>
      <c r="C351" s="1346"/>
      <c r="D351" s="1346"/>
      <c r="E351" s="1346"/>
      <c r="F351" s="1346"/>
      <c r="G351" s="1347"/>
    </row>
    <row r="352" spans="1:7">
      <c r="A352" s="1345"/>
      <c r="B352" s="1346"/>
      <c r="C352" s="1346"/>
      <c r="D352" s="1346"/>
      <c r="E352" s="1346"/>
      <c r="F352" s="1346"/>
      <c r="G352" s="1347"/>
    </row>
    <row r="353" spans="1:7">
      <c r="A353" s="1345"/>
      <c r="B353" s="1346"/>
      <c r="C353" s="1346"/>
      <c r="D353" s="1346"/>
      <c r="E353" s="1346"/>
      <c r="F353" s="1346"/>
      <c r="G353" s="1347"/>
    </row>
    <row r="354" spans="1:7">
      <c r="A354" s="1345"/>
      <c r="B354" s="1346"/>
      <c r="C354" s="1346"/>
      <c r="D354" s="1346"/>
      <c r="E354" s="1346"/>
      <c r="F354" s="1346"/>
      <c r="G354" s="1347"/>
    </row>
    <row r="355" spans="1:7">
      <c r="A355" s="1345"/>
      <c r="B355" s="1346"/>
      <c r="C355" s="1346"/>
      <c r="D355" s="1346"/>
      <c r="E355" s="1346"/>
      <c r="F355" s="1346"/>
      <c r="G355" s="1347"/>
    </row>
    <row r="356" spans="1:7">
      <c r="A356" s="1345"/>
      <c r="B356" s="1346"/>
      <c r="C356" s="1346"/>
      <c r="D356" s="1346"/>
      <c r="E356" s="1346"/>
      <c r="F356" s="1346"/>
      <c r="G356" s="1347"/>
    </row>
    <row r="357" spans="1:7">
      <c r="A357" s="1345"/>
      <c r="B357" s="1346"/>
      <c r="C357" s="1346"/>
      <c r="D357" s="1346"/>
      <c r="E357" s="1346"/>
      <c r="F357" s="1346"/>
      <c r="G357" s="1347"/>
    </row>
    <row r="358" spans="1:7">
      <c r="A358" s="1345"/>
      <c r="B358" s="1346"/>
      <c r="C358" s="1346"/>
      <c r="D358" s="1346"/>
      <c r="E358" s="1346"/>
      <c r="F358" s="1346"/>
      <c r="G358" s="1347"/>
    </row>
    <row r="359" spans="1:7">
      <c r="A359" s="1345"/>
      <c r="B359" s="1346"/>
      <c r="C359" s="1346"/>
      <c r="D359" s="1346"/>
      <c r="E359" s="1346"/>
      <c r="F359" s="1346"/>
      <c r="G359" s="1347"/>
    </row>
    <row r="360" spans="1:7">
      <c r="A360" s="1345"/>
      <c r="B360" s="1346"/>
      <c r="C360" s="1346"/>
      <c r="D360" s="1346"/>
      <c r="E360" s="2440" t="s">
        <v>1731</v>
      </c>
      <c r="F360" s="2440"/>
      <c r="G360" s="1347"/>
    </row>
    <row r="361" spans="1:7">
      <c r="A361" s="1313" t="s">
        <v>321</v>
      </c>
      <c r="B361" s="1314" t="s">
        <v>321</v>
      </c>
      <c r="C361" s="1314" t="s">
        <v>1744</v>
      </c>
      <c r="D361" s="1314" t="s">
        <v>324</v>
      </c>
      <c r="E361" s="1314" t="s">
        <v>1745</v>
      </c>
      <c r="F361" s="1314" t="s">
        <v>1746</v>
      </c>
      <c r="G361" s="1370" t="s">
        <v>1747</v>
      </c>
    </row>
    <row r="362" spans="1:7">
      <c r="A362" s="2442" t="s">
        <v>1859</v>
      </c>
      <c r="B362" s="2443"/>
      <c r="C362" s="2443"/>
      <c r="D362" s="2443"/>
      <c r="E362" s="2443"/>
      <c r="F362" s="2443"/>
      <c r="G362" s="2444"/>
    </row>
    <row r="363" spans="1:7">
      <c r="A363" s="1328" t="s">
        <v>1860</v>
      </c>
      <c r="B363" s="1307">
        <v>1.5</v>
      </c>
      <c r="C363" s="1307">
        <v>2.8</v>
      </c>
      <c r="D363" s="1307">
        <f t="shared" ref="D363:D370" si="2">B363*C363</f>
        <v>4.1999999999999993</v>
      </c>
      <c r="E363" s="1307"/>
      <c r="F363" s="1307"/>
      <c r="G363" s="1373">
        <f t="shared" ref="G363:G370" si="3">D363-F363</f>
        <v>4.1999999999999993</v>
      </c>
    </row>
    <row r="364" spans="1:7">
      <c r="A364" s="1328" t="s">
        <v>1861</v>
      </c>
      <c r="B364" s="1427">
        <v>1.95</v>
      </c>
      <c r="C364" s="1307">
        <v>2.8</v>
      </c>
      <c r="D364" s="1307">
        <f t="shared" si="2"/>
        <v>5.46</v>
      </c>
      <c r="E364" s="1372" t="s">
        <v>1862</v>
      </c>
      <c r="F364" s="1307">
        <f>0.8*2.1</f>
        <v>1.6800000000000002</v>
      </c>
      <c r="G364" s="1373">
        <f t="shared" si="3"/>
        <v>3.78</v>
      </c>
    </row>
    <row r="365" spans="1:7" ht="36">
      <c r="A365" s="1328" t="s">
        <v>1863</v>
      </c>
      <c r="B365" s="1307">
        <f>1.05+2.85+3.85+1.85+1.08+2</f>
        <v>12.68</v>
      </c>
      <c r="C365" s="1307">
        <v>0.7</v>
      </c>
      <c r="D365" s="1307">
        <f t="shared" si="2"/>
        <v>8.8759999999999994</v>
      </c>
      <c r="E365" s="1307"/>
      <c r="F365" s="1307"/>
      <c r="G365" s="1373">
        <f t="shared" si="3"/>
        <v>8.8759999999999994</v>
      </c>
    </row>
    <row r="366" spans="1:7" ht="36">
      <c r="A366" s="1328" t="s">
        <v>1864</v>
      </c>
      <c r="B366" s="1307">
        <f>1.05+2.85+3.85+1.85+1.08+2</f>
        <v>12.68</v>
      </c>
      <c r="C366" s="1307">
        <v>0.7</v>
      </c>
      <c r="D366" s="1307">
        <f t="shared" si="2"/>
        <v>8.8759999999999994</v>
      </c>
      <c r="E366" s="1307"/>
      <c r="F366" s="1307"/>
      <c r="G366" s="1373">
        <f t="shared" si="3"/>
        <v>8.8759999999999994</v>
      </c>
    </row>
    <row r="367" spans="1:7" ht="24">
      <c r="A367" s="1328" t="s">
        <v>1865</v>
      </c>
      <c r="B367" s="1307">
        <f>1.85+1.65+1.85+1.65</f>
        <v>7</v>
      </c>
      <c r="C367" s="1307">
        <v>0.7</v>
      </c>
      <c r="D367" s="1307">
        <f t="shared" si="2"/>
        <v>4.8999999999999995</v>
      </c>
      <c r="E367" s="1372" t="s">
        <v>1866</v>
      </c>
      <c r="F367" s="1307">
        <f>0.4*0.6</f>
        <v>0.24</v>
      </c>
      <c r="G367" s="1373">
        <f t="shared" si="3"/>
        <v>4.6599999999999993</v>
      </c>
    </row>
    <row r="368" spans="1:7" ht="24">
      <c r="A368" s="1328" t="s">
        <v>1867</v>
      </c>
      <c r="B368" s="1307">
        <f>1.85+1.65+1.85+1.65</f>
        <v>7</v>
      </c>
      <c r="C368" s="1307">
        <v>0.7</v>
      </c>
      <c r="D368" s="1307">
        <f t="shared" si="2"/>
        <v>4.8999999999999995</v>
      </c>
      <c r="E368" s="1372" t="s">
        <v>1866</v>
      </c>
      <c r="F368" s="1307">
        <f>0.4*0.6</f>
        <v>0.24</v>
      </c>
      <c r="G368" s="1373">
        <f t="shared" si="3"/>
        <v>4.6599999999999993</v>
      </c>
    </row>
    <row r="369" spans="1:7">
      <c r="A369" s="1328" t="s">
        <v>1868</v>
      </c>
      <c r="B369" s="1307">
        <f>1.35+1.35+2.35+2.35</f>
        <v>7.4</v>
      </c>
      <c r="C369" s="1307">
        <v>0.7</v>
      </c>
      <c r="D369" s="1307">
        <f t="shared" si="2"/>
        <v>5.18</v>
      </c>
      <c r="E369" s="1307"/>
      <c r="F369" s="1307"/>
      <c r="G369" s="1373">
        <f t="shared" si="3"/>
        <v>5.18</v>
      </c>
    </row>
    <row r="370" spans="1:7">
      <c r="A370" s="1328" t="s">
        <v>1869</v>
      </c>
      <c r="B370" s="1307">
        <f>3.85+3.85+2+2</f>
        <v>11.7</v>
      </c>
      <c r="C370" s="1307">
        <v>0.7</v>
      </c>
      <c r="D370" s="1307">
        <f t="shared" si="2"/>
        <v>8.19</v>
      </c>
      <c r="E370" s="1307"/>
      <c r="F370" s="1307"/>
      <c r="G370" s="1373">
        <f t="shared" si="3"/>
        <v>8.19</v>
      </c>
    </row>
    <row r="371" spans="1:7">
      <c r="A371" s="2520"/>
      <c r="B371" s="2503"/>
      <c r="C371" s="2503"/>
      <c r="D371" s="2503"/>
      <c r="E371" s="2503"/>
      <c r="F371" s="2503"/>
      <c r="G371" s="2504"/>
    </row>
    <row r="372" spans="1:7">
      <c r="A372" s="2442" t="s">
        <v>1870</v>
      </c>
      <c r="B372" s="2443"/>
      <c r="C372" s="2443"/>
      <c r="D372" s="2443"/>
      <c r="E372" s="2443"/>
      <c r="F372" s="2443"/>
      <c r="G372" s="2444"/>
    </row>
    <row r="373" spans="1:7">
      <c r="A373" s="1328" t="s">
        <v>1871</v>
      </c>
      <c r="B373" s="1307">
        <v>3.5</v>
      </c>
      <c r="C373" s="1307">
        <v>2.8</v>
      </c>
      <c r="D373" s="1307">
        <f t="shared" ref="D373:D384" si="4">B373*C373</f>
        <v>9.7999999999999989</v>
      </c>
      <c r="E373" s="1372" t="s">
        <v>1862</v>
      </c>
      <c r="F373" s="1307">
        <f>0.8*2.1</f>
        <v>1.6800000000000002</v>
      </c>
      <c r="G373" s="1373">
        <f t="shared" ref="G373:G384" si="5">D373-F373</f>
        <v>8.1199999999999992</v>
      </c>
    </row>
    <row r="374" spans="1:7" ht="24">
      <c r="A374" s="1328" t="s">
        <v>1872</v>
      </c>
      <c r="B374" s="1307">
        <f>3.15+3.5</f>
        <v>6.65</v>
      </c>
      <c r="C374" s="1307">
        <v>2.8</v>
      </c>
      <c r="D374" s="1307">
        <f t="shared" si="4"/>
        <v>18.62</v>
      </c>
      <c r="E374" s="1372" t="s">
        <v>1873</v>
      </c>
      <c r="F374" s="1307">
        <f>(0.8*2.1)+(1.1*0.6*2)</f>
        <v>3</v>
      </c>
      <c r="G374" s="1373">
        <f t="shared" si="5"/>
        <v>15.620000000000001</v>
      </c>
    </row>
    <row r="375" spans="1:7">
      <c r="A375" s="1328" t="s">
        <v>1874</v>
      </c>
      <c r="B375" s="1307">
        <f>3.35+3.15</f>
        <v>6.5</v>
      </c>
      <c r="C375" s="1307">
        <v>2.8</v>
      </c>
      <c r="D375" s="1307">
        <f t="shared" si="4"/>
        <v>18.2</v>
      </c>
      <c r="E375" s="1307"/>
      <c r="F375" s="1307"/>
      <c r="G375" s="1373">
        <f t="shared" si="5"/>
        <v>18.2</v>
      </c>
    </row>
    <row r="376" spans="1:7" ht="24">
      <c r="A376" s="1328" t="s">
        <v>1875</v>
      </c>
      <c r="B376" s="1307">
        <v>8</v>
      </c>
      <c r="C376" s="1307">
        <v>2.8</v>
      </c>
      <c r="D376" s="1307">
        <f t="shared" si="4"/>
        <v>22.4</v>
      </c>
      <c r="E376" s="1372" t="s">
        <v>1876</v>
      </c>
      <c r="F376" s="1307">
        <f>(2.2*1.1)+(0.8*2.1)</f>
        <v>4.1000000000000005</v>
      </c>
      <c r="G376" s="1373">
        <f t="shared" si="5"/>
        <v>18.299999999999997</v>
      </c>
    </row>
    <row r="377" spans="1:7">
      <c r="A377" s="1328" t="s">
        <v>1875</v>
      </c>
      <c r="B377" s="1307">
        <v>8</v>
      </c>
      <c r="C377" s="1307">
        <v>2.8</v>
      </c>
      <c r="D377" s="1307">
        <f t="shared" si="4"/>
        <v>22.4</v>
      </c>
      <c r="E377" s="1307"/>
      <c r="F377" s="1307"/>
      <c r="G377" s="1373">
        <f t="shared" si="5"/>
        <v>22.4</v>
      </c>
    </row>
    <row r="378" spans="1:7">
      <c r="A378" s="1328" t="s">
        <v>1877</v>
      </c>
      <c r="B378" s="1307">
        <v>3.5</v>
      </c>
      <c r="C378" s="1307">
        <v>2.8</v>
      </c>
      <c r="D378" s="1307">
        <f t="shared" si="4"/>
        <v>9.7999999999999989</v>
      </c>
      <c r="E378" s="1372" t="s">
        <v>1878</v>
      </c>
      <c r="F378" s="1307">
        <f>2.2*1.1</f>
        <v>2.4200000000000004</v>
      </c>
      <c r="G378" s="1373">
        <f t="shared" si="5"/>
        <v>7.379999999999999</v>
      </c>
    </row>
    <row r="379" spans="1:7">
      <c r="A379" s="1328" t="s">
        <v>1879</v>
      </c>
      <c r="B379" s="1307">
        <f>2.55+2</f>
        <v>4.55</v>
      </c>
      <c r="C379" s="1307">
        <v>2.8</v>
      </c>
      <c r="D379" s="1307">
        <f t="shared" si="4"/>
        <v>12.739999999999998</v>
      </c>
      <c r="E379" s="1307"/>
      <c r="F379" s="1307"/>
      <c r="G379" s="1373">
        <f t="shared" si="5"/>
        <v>12.739999999999998</v>
      </c>
    </row>
    <row r="380" spans="1:7" ht="24">
      <c r="A380" s="1428" t="s">
        <v>1880</v>
      </c>
      <c r="B380" s="1429">
        <v>4</v>
      </c>
      <c r="C380" s="1406">
        <v>2.8</v>
      </c>
      <c r="D380" s="1406">
        <f t="shared" si="4"/>
        <v>11.2</v>
      </c>
      <c r="E380" s="1430" t="s">
        <v>1881</v>
      </c>
      <c r="F380" s="1406">
        <f>(1.3*2.1)+(2.3*1.1)</f>
        <v>5.26</v>
      </c>
      <c r="G380" s="1431">
        <f t="shared" si="5"/>
        <v>5.9399999999999995</v>
      </c>
    </row>
    <row r="381" spans="1:7" ht="24">
      <c r="A381" s="1428" t="s">
        <v>1882</v>
      </c>
      <c r="B381" s="1429">
        <f>2.15+1.35+1.5</f>
        <v>5</v>
      </c>
      <c r="C381" s="1406">
        <v>5.23</v>
      </c>
      <c r="D381" s="1406">
        <f t="shared" si="4"/>
        <v>26.150000000000002</v>
      </c>
      <c r="E381" s="1430" t="s">
        <v>1883</v>
      </c>
      <c r="F381" s="1406">
        <f>1.2*1.1+(0.8*2.1)+(0.9*2.1)</f>
        <v>4.8900000000000006</v>
      </c>
      <c r="G381" s="1431">
        <f t="shared" si="5"/>
        <v>21.26</v>
      </c>
    </row>
    <row r="382" spans="1:7">
      <c r="A382" s="1428" t="s">
        <v>1884</v>
      </c>
      <c r="B382" s="1429">
        <v>1.5</v>
      </c>
      <c r="C382" s="1406">
        <v>5.23</v>
      </c>
      <c r="D382" s="1406">
        <f t="shared" si="4"/>
        <v>7.8450000000000006</v>
      </c>
      <c r="E382" s="1406"/>
      <c r="F382" s="1406"/>
      <c r="G382" s="1431">
        <f t="shared" si="5"/>
        <v>7.8450000000000006</v>
      </c>
    </row>
    <row r="383" spans="1:7" ht="24">
      <c r="A383" s="1428" t="s">
        <v>1885</v>
      </c>
      <c r="B383" s="1429">
        <f>4.6+9.6</f>
        <v>14.2</v>
      </c>
      <c r="C383" s="1406">
        <v>4.7300000000000004</v>
      </c>
      <c r="D383" s="1406">
        <f t="shared" si="4"/>
        <v>67.165999999999997</v>
      </c>
      <c r="E383" s="1430" t="s">
        <v>1886</v>
      </c>
      <c r="F383" s="1406">
        <f>2.3*1.1*2+(0.8*2.1)+(1*2.1)</f>
        <v>8.84</v>
      </c>
      <c r="G383" s="1431">
        <f t="shared" si="5"/>
        <v>58.325999999999993</v>
      </c>
    </row>
    <row r="384" spans="1:7">
      <c r="A384" s="1428" t="s">
        <v>1887</v>
      </c>
      <c r="B384" s="1429">
        <v>4.5999999999999996</v>
      </c>
      <c r="C384" s="1406">
        <v>1.93</v>
      </c>
      <c r="D384" s="1406">
        <f t="shared" si="4"/>
        <v>8.8779999999999983</v>
      </c>
      <c r="E384" s="1406"/>
      <c r="F384" s="1406"/>
      <c r="G384" s="1431">
        <f t="shared" si="5"/>
        <v>8.8779999999999983</v>
      </c>
    </row>
    <row r="385" spans="1:7">
      <c r="A385" s="2520"/>
      <c r="B385" s="2503"/>
      <c r="C385" s="2503"/>
      <c r="D385" s="2503"/>
      <c r="E385" s="2503"/>
      <c r="F385" s="2503"/>
      <c r="G385" s="2504"/>
    </row>
    <row r="386" spans="1:7">
      <c r="A386" s="2442" t="s">
        <v>1888</v>
      </c>
      <c r="B386" s="2443"/>
      <c r="C386" s="2443"/>
      <c r="D386" s="2443"/>
      <c r="E386" s="2443"/>
      <c r="F386" s="2443"/>
      <c r="G386" s="2444"/>
    </row>
    <row r="387" spans="1:7" ht="24">
      <c r="A387" s="1328" t="s">
        <v>1889</v>
      </c>
      <c r="B387" s="1376">
        <f>7.5+4.65</f>
        <v>12.15</v>
      </c>
      <c r="C387" s="1307">
        <v>2.8</v>
      </c>
      <c r="D387" s="1307">
        <f t="shared" ref="D387:D395" si="6">B387*C387</f>
        <v>34.019999999999996</v>
      </c>
      <c r="E387" s="1372" t="s">
        <v>1890</v>
      </c>
      <c r="F387" s="1307">
        <f>(1.6*2.1)+(3*1.1*0.6)</f>
        <v>5.34</v>
      </c>
      <c r="G387" s="1373">
        <f t="shared" ref="G387:G395" si="7">D387-F387</f>
        <v>28.679999999999996</v>
      </c>
    </row>
    <row r="388" spans="1:7">
      <c r="A388" s="1328" t="s">
        <v>1889</v>
      </c>
      <c r="B388" s="1376">
        <f>7.5+4.65</f>
        <v>12.15</v>
      </c>
      <c r="C388" s="1307">
        <v>2.8</v>
      </c>
      <c r="D388" s="1307">
        <f t="shared" si="6"/>
        <v>34.019999999999996</v>
      </c>
      <c r="E388" s="1307"/>
      <c r="F388" s="1307"/>
      <c r="G388" s="1373">
        <f t="shared" si="7"/>
        <v>34.019999999999996</v>
      </c>
    </row>
    <row r="389" spans="1:7" ht="24">
      <c r="A389" s="1328" t="s">
        <v>1891</v>
      </c>
      <c r="B389" s="1427">
        <f>8.85+10.35</f>
        <v>19.2</v>
      </c>
      <c r="C389" s="1307">
        <v>2.8</v>
      </c>
      <c r="D389" s="1307">
        <f t="shared" si="6"/>
        <v>53.76</v>
      </c>
      <c r="E389" s="1372" t="s">
        <v>1892</v>
      </c>
      <c r="F389" s="1307">
        <f>2.3*1.1*5</f>
        <v>12.649999999999999</v>
      </c>
      <c r="G389" s="1373">
        <f t="shared" si="7"/>
        <v>41.11</v>
      </c>
    </row>
    <row r="390" spans="1:7">
      <c r="A390" s="1328" t="s">
        <v>1893</v>
      </c>
      <c r="B390" s="1427">
        <f>4.65+4</f>
        <v>8.65</v>
      </c>
      <c r="C390" s="1307">
        <v>2.8</v>
      </c>
      <c r="D390" s="1307">
        <f t="shared" si="6"/>
        <v>24.22</v>
      </c>
      <c r="E390" s="1307"/>
      <c r="F390" s="1307"/>
      <c r="G390" s="1373">
        <f t="shared" si="7"/>
        <v>24.22</v>
      </c>
    </row>
    <row r="391" spans="1:7">
      <c r="A391" s="1328" t="s">
        <v>1894</v>
      </c>
      <c r="B391" s="1427">
        <v>5.5</v>
      </c>
      <c r="C391" s="1307">
        <v>2.8</v>
      </c>
      <c r="D391" s="1307">
        <f t="shared" si="6"/>
        <v>15.399999999999999</v>
      </c>
      <c r="E391" s="1372" t="s">
        <v>1895</v>
      </c>
      <c r="F391" s="1307">
        <f>2.3*1.1</f>
        <v>2.5299999999999998</v>
      </c>
      <c r="G391" s="1373">
        <f t="shared" si="7"/>
        <v>12.87</v>
      </c>
    </row>
    <row r="392" spans="1:7">
      <c r="A392" s="1328" t="s">
        <v>1896</v>
      </c>
      <c r="B392" s="1427">
        <v>4.5</v>
      </c>
      <c r="C392" s="1307">
        <v>2.8</v>
      </c>
      <c r="D392" s="1307">
        <f t="shared" si="6"/>
        <v>12.6</v>
      </c>
      <c r="E392" s="1307"/>
      <c r="F392" s="1307"/>
      <c r="G392" s="1373">
        <f t="shared" si="7"/>
        <v>12.6</v>
      </c>
    </row>
    <row r="393" spans="1:7">
      <c r="A393" s="1428" t="s">
        <v>1897</v>
      </c>
      <c r="B393" s="1429">
        <v>5</v>
      </c>
      <c r="C393" s="1406">
        <v>2.8</v>
      </c>
      <c r="D393" s="1406">
        <f t="shared" si="6"/>
        <v>14</v>
      </c>
      <c r="E393" s="1406"/>
      <c r="F393" s="1406"/>
      <c r="G393" s="1431">
        <f t="shared" si="7"/>
        <v>14</v>
      </c>
    </row>
    <row r="394" spans="1:7">
      <c r="A394" s="1428" t="s">
        <v>1898</v>
      </c>
      <c r="B394" s="1429">
        <v>9</v>
      </c>
      <c r="C394" s="1406">
        <v>2.8</v>
      </c>
      <c r="D394" s="1406">
        <f t="shared" si="6"/>
        <v>25.2</v>
      </c>
      <c r="E394" s="1406"/>
      <c r="F394" s="1406"/>
      <c r="G394" s="1431">
        <f t="shared" si="7"/>
        <v>25.2</v>
      </c>
    </row>
    <row r="395" spans="1:7" ht="24">
      <c r="A395" s="1428" t="s">
        <v>1899</v>
      </c>
      <c r="B395" s="1429">
        <v>6.15</v>
      </c>
      <c r="C395" s="1406">
        <v>5.23</v>
      </c>
      <c r="D395" s="1406">
        <f t="shared" si="6"/>
        <v>32.164500000000004</v>
      </c>
      <c r="E395" s="1430" t="s">
        <v>1900</v>
      </c>
      <c r="F395" s="1406">
        <f>(0.8*2.1*4)+(0.4*0.6*2)</f>
        <v>7.2000000000000011</v>
      </c>
      <c r="G395" s="1431">
        <f t="shared" si="7"/>
        <v>24.964500000000001</v>
      </c>
    </row>
    <row r="396" spans="1:7">
      <c r="A396" s="2520"/>
      <c r="B396" s="2503"/>
      <c r="C396" s="2503"/>
      <c r="D396" s="2503"/>
      <c r="E396" s="2503"/>
      <c r="F396" s="2503"/>
      <c r="G396" s="2504"/>
    </row>
    <row r="397" spans="1:7">
      <c r="A397" s="2466" t="s">
        <v>1901</v>
      </c>
      <c r="B397" s="2430"/>
      <c r="C397" s="2430"/>
      <c r="D397" s="2430"/>
      <c r="E397" s="2430"/>
      <c r="F397" s="2430"/>
      <c r="G397" s="2431"/>
    </row>
    <row r="398" spans="1:7">
      <c r="A398" s="2515"/>
      <c r="B398" s="2516"/>
      <c r="C398" s="2472" t="s">
        <v>1859</v>
      </c>
      <c r="D398" s="2473"/>
      <c r="E398" s="2473"/>
      <c r="F398" s="2474"/>
      <c r="G398" s="1373"/>
    </row>
    <row r="399" spans="1:7">
      <c r="A399" s="2509"/>
      <c r="B399" s="2517"/>
      <c r="C399" s="2458" t="s">
        <v>310</v>
      </c>
      <c r="D399" s="2459"/>
      <c r="E399" s="2459"/>
      <c r="F399" s="2460"/>
      <c r="G399" s="1432">
        <f>ROUNDUP(G363+G364+G365+G366+G367+G368+G369+G370,2)</f>
        <v>48.43</v>
      </c>
    </row>
    <row r="400" spans="1:7">
      <c r="A400" s="2509"/>
      <c r="B400" s="2517"/>
      <c r="C400" s="2472" t="s">
        <v>1870</v>
      </c>
      <c r="D400" s="2473"/>
      <c r="E400" s="2473"/>
      <c r="F400" s="2474"/>
      <c r="G400" s="1433"/>
    </row>
    <row r="401" spans="1:7">
      <c r="A401" s="2509"/>
      <c r="B401" s="2517"/>
      <c r="C401" s="2458" t="s">
        <v>310</v>
      </c>
      <c r="D401" s="2459"/>
      <c r="E401" s="2459"/>
      <c r="F401" s="2460"/>
      <c r="G401" s="1432">
        <f>ROUNDUP(G373+G374+G375+G376+G377+G378+G379+G380+G381+G382+G383+G384,2)</f>
        <v>205.01</v>
      </c>
    </row>
    <row r="402" spans="1:7">
      <c r="A402" s="2509"/>
      <c r="B402" s="2517"/>
      <c r="C402" s="2472" t="s">
        <v>1888</v>
      </c>
      <c r="D402" s="2473"/>
      <c r="E402" s="2473"/>
      <c r="F402" s="2474"/>
      <c r="G402" s="1433"/>
    </row>
    <row r="403" spans="1:7">
      <c r="A403" s="2518"/>
      <c r="B403" s="2519"/>
      <c r="C403" s="2458" t="s">
        <v>310</v>
      </c>
      <c r="D403" s="2459"/>
      <c r="E403" s="2459"/>
      <c r="F403" s="2460"/>
      <c r="G403" s="1432">
        <f>ROUNDUP(G387+G388+G389+G391+G392+G393+G394+G395,2)</f>
        <v>193.45</v>
      </c>
    </row>
    <row r="404" spans="1:7" ht="15.75" thickBot="1">
      <c r="A404" s="2533" t="s">
        <v>325</v>
      </c>
      <c r="B404" s="2534"/>
      <c r="C404" s="2534"/>
      <c r="D404" s="2534"/>
      <c r="E404" s="2534"/>
      <c r="F404" s="2535"/>
      <c r="G404" s="1434">
        <f>ROUNDUP(G399+G401+G403,2)</f>
        <v>446.89</v>
      </c>
    </row>
    <row r="405" spans="1:7" ht="15.75" thickBot="1">
      <c r="A405" s="2536"/>
      <c r="B405" s="2537"/>
      <c r="C405" s="2537"/>
      <c r="D405" s="2537"/>
      <c r="E405" s="2537"/>
      <c r="F405" s="2537"/>
      <c r="G405" s="2538"/>
    </row>
    <row r="406" spans="1:7" ht="15.75" thickBot="1">
      <c r="A406" s="1435" t="s">
        <v>111</v>
      </c>
      <c r="B406" s="2366" t="s">
        <v>1902</v>
      </c>
      <c r="C406" s="2539"/>
      <c r="D406" s="2539"/>
      <c r="E406" s="2539"/>
      <c r="F406" s="2539"/>
      <c r="G406" s="2540"/>
    </row>
    <row r="407" spans="1:7">
      <c r="A407" s="2541" t="s">
        <v>306</v>
      </c>
      <c r="B407" s="2542"/>
      <c r="C407" s="2542"/>
      <c r="D407" s="2542"/>
      <c r="E407" s="2542"/>
      <c r="F407" s="2542"/>
      <c r="G407" s="2543"/>
    </row>
    <row r="408" spans="1:7">
      <c r="A408" s="2544" t="s">
        <v>1858</v>
      </c>
      <c r="B408" s="2545"/>
      <c r="C408" s="2545"/>
      <c r="D408" s="2545"/>
      <c r="E408" s="2545"/>
      <c r="F408" s="2545"/>
      <c r="G408" s="2546"/>
    </row>
    <row r="409" spans="1:7">
      <c r="A409" s="1313" t="s">
        <v>321</v>
      </c>
      <c r="B409" s="1314" t="s">
        <v>321</v>
      </c>
      <c r="C409" s="1314" t="s">
        <v>1744</v>
      </c>
      <c r="D409" s="1314" t="s">
        <v>324</v>
      </c>
      <c r="E409" s="1314" t="s">
        <v>1745</v>
      </c>
      <c r="F409" s="1314" t="s">
        <v>1746</v>
      </c>
      <c r="G409" s="1370" t="s">
        <v>1747</v>
      </c>
    </row>
    <row r="410" spans="1:7">
      <c r="A410" s="2442" t="s">
        <v>1859</v>
      </c>
      <c r="B410" s="2443"/>
      <c r="C410" s="2443"/>
      <c r="D410" s="2443"/>
      <c r="E410" s="2443"/>
      <c r="F410" s="2443"/>
      <c r="G410" s="2444"/>
    </row>
    <row r="411" spans="1:7">
      <c r="A411" s="1436" t="s">
        <v>1860</v>
      </c>
      <c r="B411" s="1437">
        <v>1.5</v>
      </c>
      <c r="C411" s="1437">
        <v>2.8</v>
      </c>
      <c r="D411" s="1437">
        <f t="shared" ref="D411:D418" si="8">B411*C411</f>
        <v>4.1999999999999993</v>
      </c>
      <c r="E411" s="1437"/>
      <c r="F411" s="1437"/>
      <c r="G411" s="1438">
        <f t="shared" ref="G411:G418" si="9">D411-F411</f>
        <v>4.1999999999999993</v>
      </c>
    </row>
    <row r="412" spans="1:7">
      <c r="A412" s="1436" t="s">
        <v>1861</v>
      </c>
      <c r="B412" s="1439">
        <v>1.95</v>
      </c>
      <c r="C412" s="1437">
        <v>2.8</v>
      </c>
      <c r="D412" s="1437">
        <f t="shared" si="8"/>
        <v>5.46</v>
      </c>
      <c r="E412" s="1440" t="s">
        <v>1862</v>
      </c>
      <c r="F412" s="1437">
        <f>0.8*2.1</f>
        <v>1.6800000000000002</v>
      </c>
      <c r="G412" s="1438">
        <f t="shared" si="9"/>
        <v>3.78</v>
      </c>
    </row>
    <row r="413" spans="1:7" ht="36">
      <c r="A413" s="1436" t="s">
        <v>1863</v>
      </c>
      <c r="B413" s="1437">
        <f>1.05+2.85+3.85+1.85+1.08+2</f>
        <v>12.68</v>
      </c>
      <c r="C413" s="1437">
        <v>0.7</v>
      </c>
      <c r="D413" s="1437">
        <f t="shared" si="8"/>
        <v>8.8759999999999994</v>
      </c>
      <c r="E413" s="1437"/>
      <c r="F413" s="1437"/>
      <c r="G413" s="1438">
        <f t="shared" si="9"/>
        <v>8.8759999999999994</v>
      </c>
    </row>
    <row r="414" spans="1:7" ht="36">
      <c r="A414" s="1436" t="s">
        <v>1864</v>
      </c>
      <c r="B414" s="1437">
        <f>1.05+2.85+3.85+1.85+1.08+2</f>
        <v>12.68</v>
      </c>
      <c r="C414" s="1437">
        <v>0.7</v>
      </c>
      <c r="D414" s="1437">
        <f t="shared" si="8"/>
        <v>8.8759999999999994</v>
      </c>
      <c r="E414" s="1437"/>
      <c r="F414" s="1437"/>
      <c r="G414" s="1438">
        <f t="shared" si="9"/>
        <v>8.8759999999999994</v>
      </c>
    </row>
    <row r="415" spans="1:7" ht="24">
      <c r="A415" s="1436" t="s">
        <v>1903</v>
      </c>
      <c r="B415" s="1437">
        <f>1.85+1.65+1.85+1.65</f>
        <v>7</v>
      </c>
      <c r="C415" s="1437">
        <v>0.7</v>
      </c>
      <c r="D415" s="1437">
        <f t="shared" si="8"/>
        <v>4.8999999999999995</v>
      </c>
      <c r="E415" s="1440" t="s">
        <v>1866</v>
      </c>
      <c r="F415" s="1437">
        <f>0.4*0.6</f>
        <v>0.24</v>
      </c>
      <c r="G415" s="1438">
        <f t="shared" si="9"/>
        <v>4.6599999999999993</v>
      </c>
    </row>
    <row r="416" spans="1:7" ht="24">
      <c r="A416" s="1436" t="s">
        <v>1904</v>
      </c>
      <c r="B416" s="1437">
        <f>1.85+1.65+1.85+1.65</f>
        <v>7</v>
      </c>
      <c r="C416" s="1437">
        <v>0.7</v>
      </c>
      <c r="D416" s="1437">
        <f t="shared" si="8"/>
        <v>4.8999999999999995</v>
      </c>
      <c r="E416" s="1440" t="s">
        <v>1866</v>
      </c>
      <c r="F416" s="1437">
        <f>0.4*0.6</f>
        <v>0.24</v>
      </c>
      <c r="G416" s="1438">
        <f t="shared" si="9"/>
        <v>4.6599999999999993</v>
      </c>
    </row>
    <row r="417" spans="1:7">
      <c r="A417" s="1436" t="s">
        <v>1868</v>
      </c>
      <c r="B417" s="1437">
        <f>1.35+1.35+2.35+2.35</f>
        <v>7.4</v>
      </c>
      <c r="C417" s="1437">
        <v>0.7</v>
      </c>
      <c r="D417" s="1437">
        <f t="shared" si="8"/>
        <v>5.18</v>
      </c>
      <c r="E417" s="1437"/>
      <c r="F417" s="1437"/>
      <c r="G417" s="1438">
        <f t="shared" si="9"/>
        <v>5.18</v>
      </c>
    </row>
    <row r="418" spans="1:7">
      <c r="A418" s="1436" t="s">
        <v>1869</v>
      </c>
      <c r="B418" s="1437">
        <f>3.85+3.85+2+2</f>
        <v>11.7</v>
      </c>
      <c r="C418" s="1437">
        <v>0.7</v>
      </c>
      <c r="D418" s="1437">
        <f t="shared" si="8"/>
        <v>8.19</v>
      </c>
      <c r="E418" s="1437"/>
      <c r="F418" s="1437"/>
      <c r="G418" s="1438">
        <f t="shared" si="9"/>
        <v>8.19</v>
      </c>
    </row>
    <row r="419" spans="1:7">
      <c r="A419" s="2530"/>
      <c r="B419" s="2531"/>
      <c r="C419" s="2531"/>
      <c r="D419" s="2531"/>
      <c r="E419" s="2531"/>
      <c r="F419" s="2531"/>
      <c r="G419" s="2532"/>
    </row>
    <row r="420" spans="1:7">
      <c r="A420" s="2442" t="s">
        <v>1870</v>
      </c>
      <c r="B420" s="2443"/>
      <c r="C420" s="2443"/>
      <c r="D420" s="2443"/>
      <c r="E420" s="2443"/>
      <c r="F420" s="2443"/>
      <c r="G420" s="2444"/>
    </row>
    <row r="421" spans="1:7">
      <c r="A421" s="1436" t="s">
        <v>1871</v>
      </c>
      <c r="B421" s="1437">
        <v>3.5</v>
      </c>
      <c r="C421" s="1437">
        <v>2.8</v>
      </c>
      <c r="D421" s="1437">
        <f t="shared" ref="D421:D432" si="10">B421*C421</f>
        <v>9.7999999999999989</v>
      </c>
      <c r="E421" s="1440" t="s">
        <v>1862</v>
      </c>
      <c r="F421" s="1437">
        <f>0.8*2.1</f>
        <v>1.6800000000000002</v>
      </c>
      <c r="G421" s="1438">
        <f t="shared" ref="G421:G432" si="11">D421-F421</f>
        <v>8.1199999999999992</v>
      </c>
    </row>
    <row r="422" spans="1:7" ht="24">
      <c r="A422" s="1436" t="s">
        <v>1872</v>
      </c>
      <c r="B422" s="1437">
        <f>3.15+3.5</f>
        <v>6.65</v>
      </c>
      <c r="C422" s="1437">
        <v>2.8</v>
      </c>
      <c r="D422" s="1437">
        <f t="shared" si="10"/>
        <v>18.62</v>
      </c>
      <c r="E422" s="1440" t="s">
        <v>1873</v>
      </c>
      <c r="F422" s="1437">
        <f>(0.8*2.1)+(1.1*0.6*2)</f>
        <v>3</v>
      </c>
      <c r="G422" s="1438">
        <f t="shared" si="11"/>
        <v>15.620000000000001</v>
      </c>
    </row>
    <row r="423" spans="1:7">
      <c r="A423" s="1436" t="s">
        <v>1874</v>
      </c>
      <c r="B423" s="1437">
        <f>3.35+3.15</f>
        <v>6.5</v>
      </c>
      <c r="C423" s="1437">
        <v>2.8</v>
      </c>
      <c r="D423" s="1437">
        <f t="shared" si="10"/>
        <v>18.2</v>
      </c>
      <c r="E423" s="1437"/>
      <c r="F423" s="1437"/>
      <c r="G423" s="1438">
        <f t="shared" si="11"/>
        <v>18.2</v>
      </c>
    </row>
    <row r="424" spans="1:7" ht="24">
      <c r="A424" s="1436" t="s">
        <v>1875</v>
      </c>
      <c r="B424" s="1437">
        <v>8</v>
      </c>
      <c r="C424" s="1437">
        <v>2.8</v>
      </c>
      <c r="D424" s="1437">
        <f t="shared" si="10"/>
        <v>22.4</v>
      </c>
      <c r="E424" s="1440" t="s">
        <v>1876</v>
      </c>
      <c r="F424" s="1437">
        <f>(2.2*1.1)+(0.8*2.1)</f>
        <v>4.1000000000000005</v>
      </c>
      <c r="G424" s="1438">
        <f t="shared" si="11"/>
        <v>18.299999999999997</v>
      </c>
    </row>
    <row r="425" spans="1:7">
      <c r="A425" s="1436" t="s">
        <v>1875</v>
      </c>
      <c r="B425" s="1437">
        <v>8</v>
      </c>
      <c r="C425" s="1437">
        <v>2.8</v>
      </c>
      <c r="D425" s="1437">
        <f t="shared" si="10"/>
        <v>22.4</v>
      </c>
      <c r="E425" s="1437"/>
      <c r="F425" s="1437"/>
      <c r="G425" s="1438">
        <f t="shared" si="11"/>
        <v>22.4</v>
      </c>
    </row>
    <row r="426" spans="1:7">
      <c r="A426" s="1436" t="s">
        <v>1877</v>
      </c>
      <c r="B426" s="1437">
        <v>3.5</v>
      </c>
      <c r="C426" s="1437">
        <v>2.8</v>
      </c>
      <c r="D426" s="1437">
        <f t="shared" si="10"/>
        <v>9.7999999999999989</v>
      </c>
      <c r="E426" s="1440" t="s">
        <v>1878</v>
      </c>
      <c r="F426" s="1437">
        <f>2.2*1.1</f>
        <v>2.4200000000000004</v>
      </c>
      <c r="G426" s="1438">
        <f t="shared" si="11"/>
        <v>7.379999999999999</v>
      </c>
    </row>
    <row r="427" spans="1:7">
      <c r="A427" s="1436" t="s">
        <v>1879</v>
      </c>
      <c r="B427" s="1437">
        <f>2.55+2</f>
        <v>4.55</v>
      </c>
      <c r="C427" s="1437">
        <v>2.8</v>
      </c>
      <c r="D427" s="1437">
        <f t="shared" si="10"/>
        <v>12.739999999999998</v>
      </c>
      <c r="E427" s="1437"/>
      <c r="F427" s="1437"/>
      <c r="G427" s="1438">
        <f t="shared" si="11"/>
        <v>12.739999999999998</v>
      </c>
    </row>
    <row r="428" spans="1:7" ht="24">
      <c r="A428" s="1441" t="s">
        <v>1880</v>
      </c>
      <c r="B428" s="1442">
        <v>4</v>
      </c>
      <c r="C428" s="1443">
        <v>2.8</v>
      </c>
      <c r="D428" s="1443">
        <f t="shared" si="10"/>
        <v>11.2</v>
      </c>
      <c r="E428" s="1444" t="s">
        <v>1881</v>
      </c>
      <c r="F428" s="1443">
        <f>(1.3*2.1)+(2.3*1.1)</f>
        <v>5.26</v>
      </c>
      <c r="G428" s="1445">
        <f t="shared" si="11"/>
        <v>5.9399999999999995</v>
      </c>
    </row>
    <row r="429" spans="1:7" ht="24">
      <c r="A429" s="1441" t="s">
        <v>1882</v>
      </c>
      <c r="B429" s="1442">
        <f>2.15+1.35+1.5</f>
        <v>5</v>
      </c>
      <c r="C429" s="1443">
        <v>5.23</v>
      </c>
      <c r="D429" s="1443">
        <f t="shared" si="10"/>
        <v>26.150000000000002</v>
      </c>
      <c r="E429" s="1444" t="s">
        <v>1883</v>
      </c>
      <c r="F429" s="1443">
        <f>1.2*1.1+(0.8*2.1)+(0.9*2.1)</f>
        <v>4.8900000000000006</v>
      </c>
      <c r="G429" s="1445">
        <f t="shared" si="11"/>
        <v>21.26</v>
      </c>
    </row>
    <row r="430" spans="1:7">
      <c r="A430" s="1441" t="s">
        <v>1884</v>
      </c>
      <c r="B430" s="1442">
        <v>1.5</v>
      </c>
      <c r="C430" s="1443">
        <v>5.23</v>
      </c>
      <c r="D430" s="1443">
        <f t="shared" si="10"/>
        <v>7.8450000000000006</v>
      </c>
      <c r="E430" s="1443"/>
      <c r="F430" s="1443"/>
      <c r="G430" s="1445">
        <f t="shared" si="11"/>
        <v>7.8450000000000006</v>
      </c>
    </row>
    <row r="431" spans="1:7" ht="24">
      <c r="A431" s="1441" t="s">
        <v>1885</v>
      </c>
      <c r="B431" s="1442">
        <f>4.6+9.6</f>
        <v>14.2</v>
      </c>
      <c r="C431" s="1443">
        <v>4.7300000000000004</v>
      </c>
      <c r="D431" s="1443">
        <f t="shared" si="10"/>
        <v>67.165999999999997</v>
      </c>
      <c r="E431" s="1444" t="s">
        <v>1886</v>
      </c>
      <c r="F431" s="1443">
        <f>2.3*1.1*2+(0.8*2.1)+(1*2.1)</f>
        <v>8.84</v>
      </c>
      <c r="G431" s="1445">
        <f t="shared" si="11"/>
        <v>58.325999999999993</v>
      </c>
    </row>
    <row r="432" spans="1:7">
      <c r="A432" s="1441" t="s">
        <v>1887</v>
      </c>
      <c r="B432" s="1442">
        <v>4.5999999999999996</v>
      </c>
      <c r="C432" s="1443">
        <v>1.93</v>
      </c>
      <c r="D432" s="1443">
        <f t="shared" si="10"/>
        <v>8.8779999999999983</v>
      </c>
      <c r="E432" s="1443"/>
      <c r="F432" s="1443"/>
      <c r="G432" s="1445">
        <f t="shared" si="11"/>
        <v>8.8779999999999983</v>
      </c>
    </row>
    <row r="433" spans="1:7">
      <c r="A433" s="2530"/>
      <c r="B433" s="2531"/>
      <c r="C433" s="2531"/>
      <c r="D433" s="2531"/>
      <c r="E433" s="2531"/>
      <c r="F433" s="2531"/>
      <c r="G433" s="2532"/>
    </row>
    <row r="434" spans="1:7">
      <c r="A434" s="2442" t="s">
        <v>1888</v>
      </c>
      <c r="B434" s="2443"/>
      <c r="C434" s="2443"/>
      <c r="D434" s="2443"/>
      <c r="E434" s="2443"/>
      <c r="F434" s="2443"/>
      <c r="G434" s="2444"/>
    </row>
    <row r="435" spans="1:7" ht="24">
      <c r="A435" s="1436" t="s">
        <v>1889</v>
      </c>
      <c r="B435" s="1446">
        <f>7.5+4.65</f>
        <v>12.15</v>
      </c>
      <c r="C435" s="1437">
        <v>2.8</v>
      </c>
      <c r="D435" s="1437">
        <f t="shared" ref="D435:D443" si="12">B435*C435</f>
        <v>34.019999999999996</v>
      </c>
      <c r="E435" s="1440" t="s">
        <v>1890</v>
      </c>
      <c r="F435" s="1437">
        <f>(1.6*2.1)+(3*1.1*0.6)</f>
        <v>5.34</v>
      </c>
      <c r="G435" s="1438">
        <f t="shared" ref="G435:G443" si="13">D435-F435</f>
        <v>28.679999999999996</v>
      </c>
    </row>
    <row r="436" spans="1:7">
      <c r="A436" s="1436" t="s">
        <v>1889</v>
      </c>
      <c r="B436" s="1446">
        <f>7.5+4.65</f>
        <v>12.15</v>
      </c>
      <c r="C436" s="1437">
        <v>2.8</v>
      </c>
      <c r="D436" s="1437">
        <f t="shared" si="12"/>
        <v>34.019999999999996</v>
      </c>
      <c r="E436" s="1437"/>
      <c r="F436" s="1437"/>
      <c r="G436" s="1438">
        <f t="shared" si="13"/>
        <v>34.019999999999996</v>
      </c>
    </row>
    <row r="437" spans="1:7" ht="24">
      <c r="A437" s="1436" t="s">
        <v>1891</v>
      </c>
      <c r="B437" s="1439">
        <f>8.85+10.35</f>
        <v>19.2</v>
      </c>
      <c r="C437" s="1437">
        <v>2.8</v>
      </c>
      <c r="D437" s="1437">
        <f t="shared" si="12"/>
        <v>53.76</v>
      </c>
      <c r="E437" s="1440" t="s">
        <v>1892</v>
      </c>
      <c r="F437" s="1437">
        <f>2.3*1.1*5</f>
        <v>12.649999999999999</v>
      </c>
      <c r="G437" s="1438">
        <f t="shared" si="13"/>
        <v>41.11</v>
      </c>
    </row>
    <row r="438" spans="1:7">
      <c r="A438" s="1436" t="s">
        <v>1893</v>
      </c>
      <c r="B438" s="1439">
        <f>4.65+4</f>
        <v>8.65</v>
      </c>
      <c r="C438" s="1437">
        <v>2.8</v>
      </c>
      <c r="D438" s="1437">
        <f t="shared" si="12"/>
        <v>24.22</v>
      </c>
      <c r="E438" s="1437"/>
      <c r="F438" s="1437"/>
      <c r="G438" s="1438">
        <f t="shared" si="13"/>
        <v>24.22</v>
      </c>
    </row>
    <row r="439" spans="1:7">
      <c r="A439" s="1436" t="s">
        <v>1894</v>
      </c>
      <c r="B439" s="1439">
        <v>5.5</v>
      </c>
      <c r="C439" s="1437">
        <v>2.8</v>
      </c>
      <c r="D439" s="1437">
        <f t="shared" si="12"/>
        <v>15.399999999999999</v>
      </c>
      <c r="E439" s="1440" t="s">
        <v>1895</v>
      </c>
      <c r="F439" s="1437">
        <f>2.3*1.1</f>
        <v>2.5299999999999998</v>
      </c>
      <c r="G439" s="1438">
        <f t="shared" si="13"/>
        <v>12.87</v>
      </c>
    </row>
    <row r="440" spans="1:7">
      <c r="A440" s="1436" t="s">
        <v>1896</v>
      </c>
      <c r="B440" s="1439">
        <v>4.5</v>
      </c>
      <c r="C440" s="1437">
        <v>2.8</v>
      </c>
      <c r="D440" s="1437">
        <f t="shared" si="12"/>
        <v>12.6</v>
      </c>
      <c r="E440" s="1437"/>
      <c r="F440" s="1437"/>
      <c r="G440" s="1438">
        <f t="shared" si="13"/>
        <v>12.6</v>
      </c>
    </row>
    <row r="441" spans="1:7">
      <c r="A441" s="1441" t="s">
        <v>1897</v>
      </c>
      <c r="B441" s="1442">
        <v>5</v>
      </c>
      <c r="C441" s="1443">
        <v>2.8</v>
      </c>
      <c r="D441" s="1443">
        <f t="shared" si="12"/>
        <v>14</v>
      </c>
      <c r="E441" s="1443"/>
      <c r="F441" s="1443"/>
      <c r="G441" s="1445">
        <f t="shared" si="13"/>
        <v>14</v>
      </c>
    </row>
    <row r="442" spans="1:7">
      <c r="A442" s="1441" t="s">
        <v>1898</v>
      </c>
      <c r="B442" s="1442">
        <v>9</v>
      </c>
      <c r="C442" s="1443">
        <v>2.8</v>
      </c>
      <c r="D442" s="1443">
        <f t="shared" si="12"/>
        <v>25.2</v>
      </c>
      <c r="E442" s="1443"/>
      <c r="F442" s="1443"/>
      <c r="G442" s="1445">
        <f t="shared" si="13"/>
        <v>25.2</v>
      </c>
    </row>
    <row r="443" spans="1:7" ht="24">
      <c r="A443" s="1441" t="s">
        <v>1899</v>
      </c>
      <c r="B443" s="1442">
        <v>6.15</v>
      </c>
      <c r="C443" s="1443">
        <v>5.23</v>
      </c>
      <c r="D443" s="1443">
        <f t="shared" si="12"/>
        <v>32.164500000000004</v>
      </c>
      <c r="E443" s="1444" t="s">
        <v>1900</v>
      </c>
      <c r="F443" s="1443">
        <f>(0.8*2.1*4)+(0.4*0.6*2)</f>
        <v>7.2000000000000011</v>
      </c>
      <c r="G443" s="1445">
        <f t="shared" si="13"/>
        <v>24.964500000000001</v>
      </c>
    </row>
    <row r="444" spans="1:7">
      <c r="A444" s="2530"/>
      <c r="B444" s="2531"/>
      <c r="C444" s="2531"/>
      <c r="D444" s="2531"/>
      <c r="E444" s="2531"/>
      <c r="F444" s="2531"/>
      <c r="G444" s="2532"/>
    </row>
    <row r="445" spans="1:7">
      <c r="A445" s="2466" t="s">
        <v>1905</v>
      </c>
      <c r="B445" s="2430"/>
      <c r="C445" s="2430"/>
      <c r="D445" s="2430"/>
      <c r="E445" s="2430"/>
      <c r="F445" s="2430"/>
      <c r="G445" s="2431"/>
    </row>
    <row r="446" spans="1:7">
      <c r="A446" s="2521"/>
      <c r="B446" s="2522"/>
      <c r="C446" s="2527" t="s">
        <v>1859</v>
      </c>
      <c r="D446" s="2528"/>
      <c r="E446" s="2528"/>
      <c r="F446" s="2529"/>
      <c r="G446" s="1438"/>
    </row>
    <row r="447" spans="1:7">
      <c r="A447" s="2523"/>
      <c r="B447" s="2524"/>
      <c r="C447" s="2458" t="s">
        <v>310</v>
      </c>
      <c r="D447" s="2459"/>
      <c r="E447" s="2459"/>
      <c r="F447" s="2460"/>
      <c r="G447" s="1432">
        <f>ROUNDUP(G411+G412+G413+G414+G415+G416+G417+G418,2)</f>
        <v>48.43</v>
      </c>
    </row>
    <row r="448" spans="1:7">
      <c r="A448" s="2523"/>
      <c r="B448" s="2524"/>
      <c r="C448" s="2527" t="s">
        <v>1870</v>
      </c>
      <c r="D448" s="2528"/>
      <c r="E448" s="2528"/>
      <c r="F448" s="2529"/>
      <c r="G448" s="1447"/>
    </row>
    <row r="449" spans="1:7">
      <c r="A449" s="2523"/>
      <c r="B449" s="2524"/>
      <c r="C449" s="2458" t="s">
        <v>310</v>
      </c>
      <c r="D449" s="2459"/>
      <c r="E449" s="2459"/>
      <c r="F449" s="2460"/>
      <c r="G449" s="1432">
        <f>ROUNDUP(G421+G422+G423+G424+G425+G426+G427+G428+G429+G430+G431+G432,2)</f>
        <v>205.01</v>
      </c>
    </row>
    <row r="450" spans="1:7">
      <c r="A450" s="2523"/>
      <c r="B450" s="2524"/>
      <c r="C450" s="2527" t="s">
        <v>1888</v>
      </c>
      <c r="D450" s="2528"/>
      <c r="E450" s="2528"/>
      <c r="F450" s="2529"/>
      <c r="G450" s="1447"/>
    </row>
    <row r="451" spans="1:7">
      <c r="A451" s="2525"/>
      <c r="B451" s="2526"/>
      <c r="C451" s="2458" t="s">
        <v>310</v>
      </c>
      <c r="D451" s="2459"/>
      <c r="E451" s="2459"/>
      <c r="F451" s="2460"/>
      <c r="G451" s="1432">
        <f>ROUNDUP(G435+G441+G442+G436+G437+G439+G440+G443,2)</f>
        <v>193.45</v>
      </c>
    </row>
    <row r="452" spans="1:7" ht="15.75" thickBot="1">
      <c r="A452" s="2533" t="s">
        <v>325</v>
      </c>
      <c r="B452" s="2534"/>
      <c r="C452" s="2534"/>
      <c r="D452" s="2534"/>
      <c r="E452" s="2534"/>
      <c r="F452" s="2535"/>
      <c r="G452" s="1434">
        <f>ROUNDUP(G447+G449+G451,2)</f>
        <v>446.89</v>
      </c>
    </row>
    <row r="453" spans="1:7" ht="15.75" thickBot="1">
      <c r="A453" s="1448"/>
      <c r="B453" s="1449"/>
      <c r="C453" s="1449"/>
      <c r="D453" s="1449"/>
      <c r="E453" s="1449"/>
      <c r="F453" s="1449"/>
      <c r="G453" s="1450"/>
    </row>
    <row r="454" spans="1:7" ht="15.75" thickBot="1">
      <c r="A454" s="1299" t="s">
        <v>1906</v>
      </c>
      <c r="B454" s="2366" t="s">
        <v>1907</v>
      </c>
      <c r="C454" s="2367"/>
      <c r="D454" s="2367"/>
      <c r="E454" s="2367"/>
      <c r="F454" s="2367"/>
      <c r="G454" s="2368"/>
    </row>
    <row r="455" spans="1:7">
      <c r="A455" s="2369" t="s">
        <v>306</v>
      </c>
      <c r="B455" s="2370"/>
      <c r="C455" s="2370"/>
      <c r="D455" s="2370"/>
      <c r="E455" s="2370"/>
      <c r="F455" s="2370"/>
      <c r="G455" s="2371"/>
    </row>
    <row r="456" spans="1:7">
      <c r="A456" s="2488" t="s">
        <v>1858</v>
      </c>
      <c r="B456" s="2489"/>
      <c r="C456" s="2489"/>
      <c r="D456" s="2489"/>
      <c r="E456" s="2489"/>
      <c r="F456" s="2489"/>
      <c r="G456" s="2490"/>
    </row>
    <row r="457" spans="1:7">
      <c r="A457" s="1313" t="s">
        <v>321</v>
      </c>
      <c r="B457" s="1314" t="s">
        <v>321</v>
      </c>
      <c r="C457" s="1314" t="s">
        <v>1744</v>
      </c>
      <c r="D457" s="1314" t="s">
        <v>324</v>
      </c>
      <c r="E457" s="1314" t="s">
        <v>1745</v>
      </c>
      <c r="F457" s="1314" t="s">
        <v>1746</v>
      </c>
      <c r="G457" s="1370" t="s">
        <v>1747</v>
      </c>
    </row>
    <row r="458" spans="1:7">
      <c r="A458" s="2442" t="s">
        <v>1859</v>
      </c>
      <c r="B458" s="2443"/>
      <c r="C458" s="2443"/>
      <c r="D458" s="2443"/>
      <c r="E458" s="2443"/>
      <c r="F458" s="2443"/>
      <c r="G458" s="2444"/>
    </row>
    <row r="459" spans="1:7" ht="24">
      <c r="A459" s="1328" t="s">
        <v>1908</v>
      </c>
      <c r="B459" s="1307">
        <f>1.05+2.85</f>
        <v>3.9000000000000004</v>
      </c>
      <c r="C459" s="1307">
        <v>2.1</v>
      </c>
      <c r="D459" s="1307">
        <f t="shared" ref="D459:D464" si="14">B459*C459</f>
        <v>8.1900000000000013</v>
      </c>
      <c r="E459" s="1372" t="s">
        <v>1909</v>
      </c>
      <c r="F459" s="1307">
        <f>(0.8*2.1)+(1.1*0.6)</f>
        <v>2.3400000000000003</v>
      </c>
      <c r="G459" s="1373">
        <f t="shared" ref="G459:G467" si="15">D459-F459</f>
        <v>5.8500000000000014</v>
      </c>
    </row>
    <row r="460" spans="1:7" ht="24">
      <c r="A460" s="1328" t="s">
        <v>1910</v>
      </c>
      <c r="B460" s="1427">
        <f>1.85+1.08+2</f>
        <v>4.93</v>
      </c>
      <c r="C460" s="1307">
        <v>2.1</v>
      </c>
      <c r="D460" s="1307">
        <f t="shared" si="14"/>
        <v>10.353</v>
      </c>
      <c r="E460" s="1307"/>
      <c r="F460" s="1307"/>
      <c r="G460" s="1373">
        <f t="shared" si="15"/>
        <v>10.353</v>
      </c>
    </row>
    <row r="461" spans="1:7" ht="24">
      <c r="A461" s="1328" t="s">
        <v>1911</v>
      </c>
      <c r="B461" s="1307">
        <f>1.05+2.85</f>
        <v>3.9000000000000004</v>
      </c>
      <c r="C461" s="1307">
        <v>2.1</v>
      </c>
      <c r="D461" s="1307">
        <f t="shared" si="14"/>
        <v>8.1900000000000013</v>
      </c>
      <c r="E461" s="1372" t="s">
        <v>1909</v>
      </c>
      <c r="F461" s="1307">
        <f>(0.8*2.1)+(1.1*0.6)</f>
        <v>2.3400000000000003</v>
      </c>
      <c r="G461" s="1373">
        <f t="shared" si="15"/>
        <v>5.8500000000000014</v>
      </c>
    </row>
    <row r="462" spans="1:7" ht="24">
      <c r="A462" s="1328" t="s">
        <v>1912</v>
      </c>
      <c r="B462" s="1427">
        <f>1.85+1.08+2</f>
        <v>4.93</v>
      </c>
      <c r="C462" s="1307">
        <v>2.1</v>
      </c>
      <c r="D462" s="1307">
        <f t="shared" si="14"/>
        <v>10.353</v>
      </c>
      <c r="E462" s="1307"/>
      <c r="F462" s="1307"/>
      <c r="G462" s="1373">
        <f t="shared" si="15"/>
        <v>10.353</v>
      </c>
    </row>
    <row r="463" spans="1:7" ht="24">
      <c r="A463" s="1328" t="s">
        <v>1913</v>
      </c>
      <c r="B463" s="1307">
        <f>1.35*2</f>
        <v>2.7</v>
      </c>
      <c r="C463" s="1307">
        <v>2.1</v>
      </c>
      <c r="D463" s="1307">
        <f t="shared" si="14"/>
        <v>5.6700000000000008</v>
      </c>
      <c r="E463" s="1372" t="s">
        <v>1909</v>
      </c>
      <c r="F463" s="1307">
        <f>(0.8*2.1)+(1.1*0.6)</f>
        <v>2.3400000000000003</v>
      </c>
      <c r="G463" s="1373">
        <f t="shared" si="15"/>
        <v>3.3300000000000005</v>
      </c>
    </row>
    <row r="464" spans="1:7">
      <c r="A464" s="1328" t="s">
        <v>1914</v>
      </c>
      <c r="B464" s="1307">
        <f>2.35+2.35</f>
        <v>4.7</v>
      </c>
      <c r="C464" s="1307">
        <v>2.1</v>
      </c>
      <c r="D464" s="1307">
        <f t="shared" si="14"/>
        <v>9.870000000000001</v>
      </c>
      <c r="E464" s="1307"/>
      <c r="F464" s="1307"/>
      <c r="G464" s="1373">
        <f t="shared" si="15"/>
        <v>9.870000000000001</v>
      </c>
    </row>
    <row r="465" spans="1:7">
      <c r="A465" s="1328" t="s">
        <v>1915</v>
      </c>
      <c r="B465" s="1307">
        <v>4</v>
      </c>
      <c r="C465" s="1307">
        <v>2.1</v>
      </c>
      <c r="D465" s="1307">
        <f>4*2.1</f>
        <v>8.4</v>
      </c>
      <c r="E465" s="1372" t="s">
        <v>1916</v>
      </c>
      <c r="F465" s="1307">
        <f>(0.6*1.1)+(1.2*1.1)</f>
        <v>1.98</v>
      </c>
      <c r="G465" s="1373">
        <f t="shared" si="15"/>
        <v>6.42</v>
      </c>
    </row>
    <row r="466" spans="1:7" ht="24">
      <c r="A466" s="1328" t="s">
        <v>1917</v>
      </c>
      <c r="B466" s="1307">
        <f>1.85+1.65+1.65+1.85</f>
        <v>7</v>
      </c>
      <c r="C466" s="1307">
        <v>2.1</v>
      </c>
      <c r="D466" s="1307">
        <f>4*2.1</f>
        <v>8.4</v>
      </c>
      <c r="E466" s="1372" t="s">
        <v>1918</v>
      </c>
      <c r="F466" s="1307">
        <f>(0.8*2.1)+(0.4*0.6)</f>
        <v>1.9200000000000002</v>
      </c>
      <c r="G466" s="1373">
        <f t="shared" si="15"/>
        <v>6.48</v>
      </c>
    </row>
    <row r="467" spans="1:7" ht="36">
      <c r="A467" s="1328" t="s">
        <v>1919</v>
      </c>
      <c r="B467" s="1307">
        <f>1.85+1.65+1.65+1.85</f>
        <v>7</v>
      </c>
      <c r="C467" s="1307">
        <v>2.1</v>
      </c>
      <c r="D467" s="1307">
        <f>4*2.1</f>
        <v>8.4</v>
      </c>
      <c r="E467" s="1372" t="s">
        <v>1918</v>
      </c>
      <c r="F467" s="1307">
        <f>(0.8*2.1)+(0.4*0.6)</f>
        <v>1.9200000000000002</v>
      </c>
      <c r="G467" s="1373">
        <f t="shared" si="15"/>
        <v>6.48</v>
      </c>
    </row>
    <row r="468" spans="1:7">
      <c r="A468" s="2520"/>
      <c r="B468" s="2503"/>
      <c r="C468" s="2503"/>
      <c r="D468" s="2503"/>
      <c r="E468" s="2503"/>
      <c r="F468" s="2503"/>
      <c r="G468" s="2504"/>
    </row>
    <row r="469" spans="1:7">
      <c r="A469" s="2442" t="s">
        <v>1870</v>
      </c>
      <c r="B469" s="2443"/>
      <c r="C469" s="2443"/>
      <c r="D469" s="2443"/>
      <c r="E469" s="2443"/>
      <c r="F469" s="2443"/>
      <c r="G469" s="2444"/>
    </row>
    <row r="470" spans="1:7">
      <c r="A470" s="1328" t="s">
        <v>1920</v>
      </c>
      <c r="B470" s="1307">
        <v>3.85</v>
      </c>
      <c r="C470" s="1307">
        <v>2.1</v>
      </c>
      <c r="D470" s="1307">
        <f>B470*C470</f>
        <v>8.0850000000000009</v>
      </c>
      <c r="E470" s="1307"/>
      <c r="F470" s="1307"/>
      <c r="G470" s="1373">
        <f>D470-F470</f>
        <v>8.0850000000000009</v>
      </c>
    </row>
    <row r="471" spans="1:7">
      <c r="A471" s="1328" t="s">
        <v>1921</v>
      </c>
      <c r="B471" s="1307">
        <v>3.85</v>
      </c>
      <c r="C471" s="1307">
        <v>2.1</v>
      </c>
      <c r="D471" s="1307">
        <f>B471*C471</f>
        <v>8.0850000000000009</v>
      </c>
      <c r="E471" s="1307"/>
      <c r="F471" s="1307"/>
      <c r="G471" s="1373">
        <f>D471-F471</f>
        <v>8.0850000000000009</v>
      </c>
    </row>
    <row r="472" spans="1:7">
      <c r="A472" s="1328" t="s">
        <v>1922</v>
      </c>
      <c r="B472" s="1307">
        <v>3.85</v>
      </c>
      <c r="C472" s="1307">
        <v>2.1</v>
      </c>
      <c r="D472" s="1307">
        <f>B472*C472</f>
        <v>8.0850000000000009</v>
      </c>
      <c r="E472" s="1372" t="s">
        <v>1923</v>
      </c>
      <c r="F472" s="1307">
        <f>0.8*2.1</f>
        <v>1.6800000000000002</v>
      </c>
      <c r="G472" s="1373">
        <f>D472-F472</f>
        <v>6.4050000000000011</v>
      </c>
    </row>
    <row r="473" spans="1:7">
      <c r="A473" s="1328" t="s">
        <v>1922</v>
      </c>
      <c r="B473" s="1307">
        <v>3.85</v>
      </c>
      <c r="C473" s="1307">
        <v>2.1</v>
      </c>
      <c r="D473" s="1307">
        <f>B473*C473</f>
        <v>8.0850000000000009</v>
      </c>
      <c r="E473" s="1307"/>
      <c r="F473" s="1307"/>
      <c r="G473" s="1373">
        <f>D473-F473</f>
        <v>8.0850000000000009</v>
      </c>
    </row>
    <row r="474" spans="1:7">
      <c r="A474" s="2520"/>
      <c r="B474" s="2503"/>
      <c r="C474" s="2503"/>
      <c r="D474" s="2503"/>
      <c r="E474" s="2503"/>
      <c r="F474" s="2503"/>
      <c r="G474" s="2504"/>
    </row>
    <row r="475" spans="1:7">
      <c r="A475" s="2466" t="s">
        <v>1924</v>
      </c>
      <c r="B475" s="2430"/>
      <c r="C475" s="2430"/>
      <c r="D475" s="2430"/>
      <c r="E475" s="2430"/>
      <c r="F475" s="2430"/>
      <c r="G475" s="2431"/>
    </row>
    <row r="476" spans="1:7">
      <c r="A476" s="2515"/>
      <c r="B476" s="2516"/>
      <c r="C476" s="2472" t="s">
        <v>1859</v>
      </c>
      <c r="D476" s="2473"/>
      <c r="E476" s="2473"/>
      <c r="F476" s="2474"/>
      <c r="G476" s="1373"/>
    </row>
    <row r="477" spans="1:7">
      <c r="A477" s="2509"/>
      <c r="B477" s="2517"/>
      <c r="C477" s="2458" t="s">
        <v>310</v>
      </c>
      <c r="D477" s="2459"/>
      <c r="E477" s="2459"/>
      <c r="F477" s="2460"/>
      <c r="G477" s="1432">
        <f>ROUNDUP(G459+G460+G461+G462+G465+G463+G464+G466+G467,2)</f>
        <v>64.990000000000009</v>
      </c>
    </row>
    <row r="478" spans="1:7">
      <c r="A478" s="2509"/>
      <c r="B478" s="2517"/>
      <c r="C478" s="2472" t="s">
        <v>1870</v>
      </c>
      <c r="D478" s="2473"/>
      <c r="E478" s="2473"/>
      <c r="F478" s="2474"/>
      <c r="G478" s="1433"/>
    </row>
    <row r="479" spans="1:7">
      <c r="A479" s="2518"/>
      <c r="B479" s="2519"/>
      <c r="C479" s="2458" t="s">
        <v>310</v>
      </c>
      <c r="D479" s="2459"/>
      <c r="E479" s="2459"/>
      <c r="F479" s="2460"/>
      <c r="G479" s="1432">
        <f>ROUNDUP(G470+G471+G472+G473,2)</f>
        <v>30.66</v>
      </c>
    </row>
    <row r="480" spans="1:7" ht="15.75" thickBot="1">
      <c r="A480" s="2533" t="s">
        <v>325</v>
      </c>
      <c r="B480" s="2534"/>
      <c r="C480" s="2534"/>
      <c r="D480" s="2534"/>
      <c r="E480" s="2534"/>
      <c r="F480" s="2535"/>
      <c r="G480" s="1434">
        <f>ROUNDUP(G477+G479,2)</f>
        <v>95.65</v>
      </c>
    </row>
    <row r="481" spans="1:7" ht="15.75" thickBot="1">
      <c r="A481" s="1448"/>
      <c r="B481" s="1449"/>
      <c r="C481" s="1449"/>
      <c r="D481" s="1449"/>
      <c r="E481" s="1449"/>
      <c r="F481" s="1449"/>
      <c r="G481" s="1450"/>
    </row>
    <row r="482" spans="1:7" ht="15.75" thickBot="1">
      <c r="A482" s="1299" t="s">
        <v>1925</v>
      </c>
      <c r="B482" s="2366" t="s">
        <v>1926</v>
      </c>
      <c r="C482" s="2367"/>
      <c r="D482" s="2367"/>
      <c r="E482" s="2367"/>
      <c r="F482" s="2367"/>
      <c r="G482" s="2368"/>
    </row>
    <row r="483" spans="1:7">
      <c r="A483" s="2369" t="s">
        <v>306</v>
      </c>
      <c r="B483" s="2370"/>
      <c r="C483" s="2370"/>
      <c r="D483" s="2370"/>
      <c r="E483" s="2370"/>
      <c r="F483" s="2370"/>
      <c r="G483" s="2371"/>
    </row>
    <row r="484" spans="1:7">
      <c r="A484" s="2488" t="s">
        <v>1858</v>
      </c>
      <c r="B484" s="2489"/>
      <c r="C484" s="2489"/>
      <c r="D484" s="2489"/>
      <c r="E484" s="2489"/>
      <c r="F484" s="2489"/>
      <c r="G484" s="2490"/>
    </row>
    <row r="485" spans="1:7">
      <c r="A485" s="1313" t="s">
        <v>321</v>
      </c>
      <c r="B485" s="1314" t="s">
        <v>321</v>
      </c>
      <c r="C485" s="1314" t="s">
        <v>1744</v>
      </c>
      <c r="D485" s="1314" t="s">
        <v>324</v>
      </c>
      <c r="E485" s="1314" t="s">
        <v>1745</v>
      </c>
      <c r="F485" s="1314" t="s">
        <v>1746</v>
      </c>
      <c r="G485" s="1370" t="s">
        <v>1747</v>
      </c>
    </row>
    <row r="486" spans="1:7">
      <c r="A486" s="2442" t="s">
        <v>1859</v>
      </c>
      <c r="B486" s="2443"/>
      <c r="C486" s="2443"/>
      <c r="D486" s="2443"/>
      <c r="E486" s="2443"/>
      <c r="F486" s="2443"/>
      <c r="G486" s="2444"/>
    </row>
    <row r="487" spans="1:7" ht="24">
      <c r="A487" s="1328" t="s">
        <v>1908</v>
      </c>
      <c r="B487" s="1307">
        <f>1.05+2.85</f>
        <v>3.9000000000000004</v>
      </c>
      <c r="C487" s="1307">
        <v>2.1</v>
      </c>
      <c r="D487" s="1307">
        <f t="shared" ref="D487:D492" si="16">B487*C487</f>
        <v>8.1900000000000013</v>
      </c>
      <c r="E487" s="1372" t="s">
        <v>1909</v>
      </c>
      <c r="F487" s="1307">
        <f>(0.8*2.1)+(1.1*0.6)</f>
        <v>2.3400000000000003</v>
      </c>
      <c r="G487" s="1373">
        <f t="shared" ref="G487:G495" si="17">D487-F487</f>
        <v>5.8500000000000014</v>
      </c>
    </row>
    <row r="488" spans="1:7" ht="24">
      <c r="A488" s="1328" t="s">
        <v>1910</v>
      </c>
      <c r="B488" s="1427">
        <f>1.85+1.08+2</f>
        <v>4.93</v>
      </c>
      <c r="C488" s="1307">
        <v>2.1</v>
      </c>
      <c r="D488" s="1307">
        <f t="shared" si="16"/>
        <v>10.353</v>
      </c>
      <c r="E488" s="1307"/>
      <c r="F488" s="1307"/>
      <c r="G488" s="1373">
        <f t="shared" si="17"/>
        <v>10.353</v>
      </c>
    </row>
    <row r="489" spans="1:7" ht="24">
      <c r="A489" s="1328" t="s">
        <v>1911</v>
      </c>
      <c r="B489" s="1307">
        <f>1.05+2.85</f>
        <v>3.9000000000000004</v>
      </c>
      <c r="C489" s="1307">
        <v>2.1</v>
      </c>
      <c r="D489" s="1307">
        <f t="shared" si="16"/>
        <v>8.1900000000000013</v>
      </c>
      <c r="E489" s="1372" t="s">
        <v>1909</v>
      </c>
      <c r="F489" s="1307">
        <f>(0.8*2.1)+(1.1*0.6)</f>
        <v>2.3400000000000003</v>
      </c>
      <c r="G489" s="1373">
        <f t="shared" si="17"/>
        <v>5.8500000000000014</v>
      </c>
    </row>
    <row r="490" spans="1:7" ht="24">
      <c r="A490" s="1328" t="s">
        <v>1912</v>
      </c>
      <c r="B490" s="1427">
        <f>1.85+1.08+2</f>
        <v>4.93</v>
      </c>
      <c r="C490" s="1307">
        <v>2.1</v>
      </c>
      <c r="D490" s="1307">
        <f t="shared" si="16"/>
        <v>10.353</v>
      </c>
      <c r="E490" s="1307"/>
      <c r="F490" s="1307"/>
      <c r="G490" s="1373">
        <f t="shared" si="17"/>
        <v>10.353</v>
      </c>
    </row>
    <row r="491" spans="1:7" ht="24">
      <c r="A491" s="1328" t="s">
        <v>1913</v>
      </c>
      <c r="B491" s="1307">
        <f>1.35*2</f>
        <v>2.7</v>
      </c>
      <c r="C491" s="1307">
        <v>2.1</v>
      </c>
      <c r="D491" s="1307">
        <f t="shared" si="16"/>
        <v>5.6700000000000008</v>
      </c>
      <c r="E491" s="1372" t="s">
        <v>1909</v>
      </c>
      <c r="F491" s="1307">
        <f>(0.8*2.1)+(1.1*0.6)</f>
        <v>2.3400000000000003</v>
      </c>
      <c r="G491" s="1373">
        <f t="shared" si="17"/>
        <v>3.3300000000000005</v>
      </c>
    </row>
    <row r="492" spans="1:7">
      <c r="A492" s="1328" t="s">
        <v>1914</v>
      </c>
      <c r="B492" s="1307">
        <f>2.35+2.35</f>
        <v>4.7</v>
      </c>
      <c r="C492" s="1307">
        <v>2.1</v>
      </c>
      <c r="D492" s="1307">
        <f t="shared" si="16"/>
        <v>9.870000000000001</v>
      </c>
      <c r="E492" s="1307"/>
      <c r="F492" s="1307"/>
      <c r="G492" s="1373">
        <f t="shared" si="17"/>
        <v>9.870000000000001</v>
      </c>
    </row>
    <row r="493" spans="1:7">
      <c r="A493" s="1328" t="s">
        <v>1915</v>
      </c>
      <c r="B493" s="1307">
        <v>4</v>
      </c>
      <c r="C493" s="1307">
        <v>2.1</v>
      </c>
      <c r="D493" s="1307">
        <f>4*2.1</f>
        <v>8.4</v>
      </c>
      <c r="E493" s="1372" t="s">
        <v>1916</v>
      </c>
      <c r="F493" s="1307">
        <f>(0.6*1.1)+(1.2*1.1)</f>
        <v>1.98</v>
      </c>
      <c r="G493" s="1373">
        <f t="shared" si="17"/>
        <v>6.42</v>
      </c>
    </row>
    <row r="494" spans="1:7" ht="24">
      <c r="A494" s="1328" t="s">
        <v>1917</v>
      </c>
      <c r="B494" s="1307">
        <f>1.85+1.65+1.65+1.85</f>
        <v>7</v>
      </c>
      <c r="C494" s="1307">
        <v>2.1</v>
      </c>
      <c r="D494" s="1307">
        <f>4*2.1</f>
        <v>8.4</v>
      </c>
      <c r="E494" s="1372" t="s">
        <v>1918</v>
      </c>
      <c r="F494" s="1307">
        <f>(0.8*2.1)+(0.4*0.6)</f>
        <v>1.9200000000000002</v>
      </c>
      <c r="G494" s="1373">
        <f t="shared" si="17"/>
        <v>6.48</v>
      </c>
    </row>
    <row r="495" spans="1:7" ht="36">
      <c r="A495" s="1328" t="s">
        <v>1919</v>
      </c>
      <c r="B495" s="1307">
        <f>1.85+1.65+1.65+1.85</f>
        <v>7</v>
      </c>
      <c r="C495" s="1307">
        <v>2.1</v>
      </c>
      <c r="D495" s="1307">
        <f>4*2.1</f>
        <v>8.4</v>
      </c>
      <c r="E495" s="1372" t="s">
        <v>1918</v>
      </c>
      <c r="F495" s="1307">
        <f>(0.8*2.1)+(0.4*0.6)</f>
        <v>1.9200000000000002</v>
      </c>
      <c r="G495" s="1373">
        <f t="shared" si="17"/>
        <v>6.48</v>
      </c>
    </row>
    <row r="496" spans="1:7">
      <c r="A496" s="2520"/>
      <c r="B496" s="2503"/>
      <c r="C496" s="2503"/>
      <c r="D496" s="2503"/>
      <c r="E496" s="2503"/>
      <c r="F496" s="2503"/>
      <c r="G496" s="2504"/>
    </row>
    <row r="497" spans="1:7">
      <c r="A497" s="2442" t="s">
        <v>1870</v>
      </c>
      <c r="B497" s="2443"/>
      <c r="C497" s="2443"/>
      <c r="D497" s="2443"/>
      <c r="E497" s="2443"/>
      <c r="F497" s="2443"/>
      <c r="G497" s="2444"/>
    </row>
    <row r="498" spans="1:7">
      <c r="A498" s="1328" t="s">
        <v>1920</v>
      </c>
      <c r="B498" s="1307">
        <v>3.85</v>
      </c>
      <c r="C498" s="1307">
        <v>2.1</v>
      </c>
      <c r="D498" s="1307">
        <f>B498*C498</f>
        <v>8.0850000000000009</v>
      </c>
      <c r="E498" s="1307"/>
      <c r="F498" s="1307"/>
      <c r="G498" s="1373">
        <f>D498-F498</f>
        <v>8.0850000000000009</v>
      </c>
    </row>
    <row r="499" spans="1:7">
      <c r="A499" s="1328" t="s">
        <v>1921</v>
      </c>
      <c r="B499" s="1307">
        <v>3.85</v>
      </c>
      <c r="C499" s="1307">
        <v>2.1</v>
      </c>
      <c r="D499" s="1307">
        <f>B499*C499</f>
        <v>8.0850000000000009</v>
      </c>
      <c r="E499" s="1307"/>
      <c r="F499" s="1307"/>
      <c r="G499" s="1373">
        <f>D499-F499</f>
        <v>8.0850000000000009</v>
      </c>
    </row>
    <row r="500" spans="1:7">
      <c r="A500" s="1328" t="s">
        <v>1922</v>
      </c>
      <c r="B500" s="1307">
        <v>3.85</v>
      </c>
      <c r="C500" s="1307">
        <v>2.1</v>
      </c>
      <c r="D500" s="1307">
        <f>B500*C500</f>
        <v>8.0850000000000009</v>
      </c>
      <c r="E500" s="1372" t="s">
        <v>1923</v>
      </c>
      <c r="F500" s="1307">
        <f>0.8*2.1</f>
        <v>1.6800000000000002</v>
      </c>
      <c r="G500" s="1373">
        <f>D500-F500</f>
        <v>6.4050000000000011</v>
      </c>
    </row>
    <row r="501" spans="1:7">
      <c r="A501" s="1328" t="s">
        <v>1922</v>
      </c>
      <c r="B501" s="1307">
        <v>3.85</v>
      </c>
      <c r="C501" s="1307">
        <v>2.1</v>
      </c>
      <c r="D501" s="1307">
        <f>B501*C501</f>
        <v>8.0850000000000009</v>
      </c>
      <c r="E501" s="1307"/>
      <c r="F501" s="1307"/>
      <c r="G501" s="1373">
        <f>D501-F501</f>
        <v>8.0850000000000009</v>
      </c>
    </row>
    <row r="502" spans="1:7">
      <c r="A502" s="2520"/>
      <c r="B502" s="2503"/>
      <c r="C502" s="2503"/>
      <c r="D502" s="2503"/>
      <c r="E502" s="2503"/>
      <c r="F502" s="2503"/>
      <c r="G502" s="2504"/>
    </row>
    <row r="503" spans="1:7">
      <c r="A503" s="2466" t="s">
        <v>1927</v>
      </c>
      <c r="B503" s="2430"/>
      <c r="C503" s="2430"/>
      <c r="D503" s="2430"/>
      <c r="E503" s="2430"/>
      <c r="F503" s="2430"/>
      <c r="G503" s="2431"/>
    </row>
    <row r="504" spans="1:7">
      <c r="A504" s="2515"/>
      <c r="B504" s="2516"/>
      <c r="C504" s="2472" t="s">
        <v>1859</v>
      </c>
      <c r="D504" s="2473"/>
      <c r="E504" s="2473"/>
      <c r="F504" s="2474"/>
      <c r="G504" s="1373"/>
    </row>
    <row r="505" spans="1:7">
      <c r="A505" s="2509"/>
      <c r="B505" s="2517"/>
      <c r="C505" s="2458" t="s">
        <v>310</v>
      </c>
      <c r="D505" s="2459"/>
      <c r="E505" s="2459"/>
      <c r="F505" s="2460"/>
      <c r="G505" s="1432">
        <f>ROUNDUP(G487+G488+G489+G490+G493+G491+G492+G494+G495,2)</f>
        <v>64.990000000000009</v>
      </c>
    </row>
    <row r="506" spans="1:7">
      <c r="A506" s="2509"/>
      <c r="B506" s="2517"/>
      <c r="C506" s="2472" t="s">
        <v>1870</v>
      </c>
      <c r="D506" s="2473"/>
      <c r="E506" s="2473"/>
      <c r="F506" s="2474"/>
      <c r="G506" s="1433"/>
    </row>
    <row r="507" spans="1:7">
      <c r="A507" s="2518"/>
      <c r="B507" s="2519"/>
      <c r="C507" s="2458" t="s">
        <v>310</v>
      </c>
      <c r="D507" s="2459"/>
      <c r="E507" s="2459"/>
      <c r="F507" s="2460"/>
      <c r="G507" s="1432">
        <f>ROUNDUP(G498+G499+G500+G501,2)</f>
        <v>30.66</v>
      </c>
    </row>
    <row r="508" spans="1:7" ht="15.75" thickBot="1">
      <c r="A508" s="2533" t="s">
        <v>325</v>
      </c>
      <c r="B508" s="2534"/>
      <c r="C508" s="2534"/>
      <c r="D508" s="2534"/>
      <c r="E508" s="2534"/>
      <c r="F508" s="2535"/>
      <c r="G508" s="1434">
        <f>ROUNDUP(G505+G507,2)</f>
        <v>95.65</v>
      </c>
    </row>
    <row r="509" spans="1:7" ht="15.75" thickBot="1">
      <c r="A509" s="1448"/>
      <c r="B509" s="1449"/>
      <c r="C509" s="1449"/>
      <c r="D509" s="1449"/>
      <c r="E509" s="1449"/>
      <c r="F509" s="1449"/>
      <c r="G509" s="1450"/>
    </row>
    <row r="510" spans="1:7" ht="15.75" thickBot="1">
      <c r="A510" s="1299" t="s">
        <v>1928</v>
      </c>
      <c r="B510" s="2366" t="s">
        <v>1929</v>
      </c>
      <c r="C510" s="2367"/>
      <c r="D510" s="2367"/>
      <c r="E510" s="2367"/>
      <c r="F510" s="2367"/>
      <c r="G510" s="2368"/>
    </row>
    <row r="511" spans="1:7">
      <c r="A511" s="2369" t="s">
        <v>306</v>
      </c>
      <c r="B511" s="2370"/>
      <c r="C511" s="2370"/>
      <c r="D511" s="2370"/>
      <c r="E511" s="2370"/>
      <c r="F511" s="2370"/>
      <c r="G511" s="2371"/>
    </row>
    <row r="512" spans="1:7">
      <c r="A512" s="2488" t="s">
        <v>1858</v>
      </c>
      <c r="B512" s="2489"/>
      <c r="C512" s="2489"/>
      <c r="D512" s="2489"/>
      <c r="E512" s="2489"/>
      <c r="F512" s="2489"/>
      <c r="G512" s="2490"/>
    </row>
    <row r="513" spans="1:7">
      <c r="A513" s="1313" t="s">
        <v>321</v>
      </c>
      <c r="B513" s="1314" t="s">
        <v>321</v>
      </c>
      <c r="C513" s="1314" t="s">
        <v>1744</v>
      </c>
      <c r="D513" s="1314" t="s">
        <v>324</v>
      </c>
      <c r="E513" s="1314" t="s">
        <v>1745</v>
      </c>
      <c r="F513" s="1314" t="s">
        <v>1746</v>
      </c>
      <c r="G513" s="1370" t="s">
        <v>1747</v>
      </c>
    </row>
    <row r="514" spans="1:7">
      <c r="A514" s="2442" t="s">
        <v>1859</v>
      </c>
      <c r="B514" s="2443"/>
      <c r="C514" s="2443"/>
      <c r="D514" s="2443"/>
      <c r="E514" s="2443"/>
      <c r="F514" s="2443"/>
      <c r="G514" s="2444"/>
    </row>
    <row r="515" spans="1:7">
      <c r="A515" s="1371">
        <v>1.5</v>
      </c>
      <c r="B515" s="1307">
        <v>1.5</v>
      </c>
      <c r="C515" s="1307">
        <v>2.82</v>
      </c>
      <c r="D515" s="1307">
        <f>B515*C515</f>
        <v>4.2299999999999995</v>
      </c>
      <c r="E515" s="1307"/>
      <c r="F515" s="1307"/>
      <c r="G515" s="1373">
        <f>D515</f>
        <v>4.2299999999999995</v>
      </c>
    </row>
    <row r="516" spans="1:7">
      <c r="A516" s="1371">
        <v>1.5</v>
      </c>
      <c r="B516" s="1307">
        <v>1.5</v>
      </c>
      <c r="C516" s="1307">
        <v>2.2799999999999998</v>
      </c>
      <c r="D516" s="1307">
        <f>B516*C516</f>
        <v>3.42</v>
      </c>
      <c r="E516" s="1307"/>
      <c r="F516" s="1307"/>
      <c r="G516" s="1373">
        <f>D516</f>
        <v>3.42</v>
      </c>
    </row>
    <row r="517" spans="1:7" ht="24">
      <c r="A517" s="1328" t="s">
        <v>1930</v>
      </c>
      <c r="B517" s="1307">
        <f>4.75+9.5+4.75</f>
        <v>19</v>
      </c>
      <c r="C517" s="1307">
        <v>0.15</v>
      </c>
      <c r="D517" s="1307">
        <f t="shared" ref="D517:D522" si="18">C517*B517</f>
        <v>2.85</v>
      </c>
      <c r="E517" s="1307"/>
      <c r="F517" s="1307"/>
      <c r="G517" s="1373">
        <f t="shared" ref="G517:G522" si="19">D517-F517</f>
        <v>2.85</v>
      </c>
    </row>
    <row r="518" spans="1:7" ht="36">
      <c r="A518" s="1328" t="s">
        <v>1931</v>
      </c>
      <c r="B518" s="1307">
        <f>4.15+4+1.6+3.08+4.5+1.65+5.15+4</f>
        <v>28.129999999999995</v>
      </c>
      <c r="C518" s="1307">
        <v>0.15</v>
      </c>
      <c r="D518" s="1307">
        <f t="shared" si="18"/>
        <v>4.2194999999999991</v>
      </c>
      <c r="E518" s="1307"/>
      <c r="F518" s="1307"/>
      <c r="G518" s="1373">
        <f t="shared" si="19"/>
        <v>4.2194999999999991</v>
      </c>
    </row>
    <row r="519" spans="1:7" ht="24">
      <c r="A519" s="1328" t="s">
        <v>1932</v>
      </c>
      <c r="B519" s="1307">
        <f>3.85+3.85+9.8+9.8</f>
        <v>27.3</v>
      </c>
      <c r="C519" s="1307">
        <v>0.15</v>
      </c>
      <c r="D519" s="1307">
        <f t="shared" si="18"/>
        <v>4.0949999999999998</v>
      </c>
      <c r="E519" s="1307"/>
      <c r="F519" s="1307"/>
      <c r="G519" s="1373">
        <f t="shared" si="19"/>
        <v>4.0949999999999998</v>
      </c>
    </row>
    <row r="520" spans="1:7" ht="24">
      <c r="A520" s="1328" t="s">
        <v>1933</v>
      </c>
      <c r="B520" s="1307">
        <f>7.8+7.5+17.1+3.35</f>
        <v>35.750000000000007</v>
      </c>
      <c r="C520" s="1307">
        <v>0.15</v>
      </c>
      <c r="D520" s="1307">
        <f t="shared" si="18"/>
        <v>5.3625000000000007</v>
      </c>
      <c r="E520" s="1307"/>
      <c r="F520" s="1307"/>
      <c r="G520" s="1373">
        <f t="shared" si="19"/>
        <v>5.3625000000000007</v>
      </c>
    </row>
    <row r="521" spans="1:7">
      <c r="A521" s="1328" t="s">
        <v>1934</v>
      </c>
      <c r="B521" s="1307">
        <f>3.35+1.8</f>
        <v>5.15</v>
      </c>
      <c r="C521" s="1307">
        <v>1.28</v>
      </c>
      <c r="D521" s="1307">
        <f t="shared" si="18"/>
        <v>6.5920000000000005</v>
      </c>
      <c r="E521" s="1307"/>
      <c r="F521" s="1307"/>
      <c r="G521" s="1373">
        <f t="shared" si="19"/>
        <v>6.5920000000000005</v>
      </c>
    </row>
    <row r="522" spans="1:7">
      <c r="A522" s="1328" t="s">
        <v>1935</v>
      </c>
      <c r="B522" s="1307">
        <f>7.8+7.5</f>
        <v>15.3</v>
      </c>
      <c r="C522" s="1307">
        <v>1.28</v>
      </c>
      <c r="D522" s="1307">
        <f t="shared" si="18"/>
        <v>19.584</v>
      </c>
      <c r="E522" s="1307"/>
      <c r="F522" s="1307"/>
      <c r="G522" s="1373">
        <f t="shared" si="19"/>
        <v>19.584</v>
      </c>
    </row>
    <row r="523" spans="1:7">
      <c r="A523" s="2520"/>
      <c r="B523" s="2503"/>
      <c r="C523" s="2503"/>
      <c r="D523" s="2503"/>
      <c r="E523" s="2503"/>
      <c r="F523" s="2503"/>
      <c r="G523" s="2504"/>
    </row>
    <row r="524" spans="1:7">
      <c r="A524" s="2442" t="s">
        <v>1870</v>
      </c>
      <c r="B524" s="2443"/>
      <c r="C524" s="2443"/>
      <c r="D524" s="2443"/>
      <c r="E524" s="2443"/>
      <c r="F524" s="2443"/>
      <c r="G524" s="2444"/>
    </row>
    <row r="525" spans="1:7">
      <c r="A525" s="1371">
        <v>4.1500000000000004</v>
      </c>
      <c r="B525" s="1307">
        <v>4.1500000000000004</v>
      </c>
      <c r="C525" s="1307">
        <v>2.2799999999999998</v>
      </c>
      <c r="D525" s="1307">
        <f>C525*B525</f>
        <v>9.4619999999999997</v>
      </c>
      <c r="E525" s="1307"/>
      <c r="F525" s="1307"/>
      <c r="G525" s="1373">
        <f>D525*C525</f>
        <v>21.573359999999997</v>
      </c>
    </row>
    <row r="526" spans="1:7">
      <c r="A526" s="1371">
        <v>1.5</v>
      </c>
      <c r="B526" s="1307">
        <v>1.5</v>
      </c>
      <c r="C526" s="1307">
        <v>4.32</v>
      </c>
      <c r="D526" s="1307">
        <f>B526*C526</f>
        <v>6.48</v>
      </c>
      <c r="E526" s="1307"/>
      <c r="F526" s="1307"/>
      <c r="G526" s="1373">
        <f>D526</f>
        <v>6.48</v>
      </c>
    </row>
    <row r="527" spans="1:7">
      <c r="A527" s="1371">
        <v>3.35</v>
      </c>
      <c r="B527" s="1307">
        <v>3.35</v>
      </c>
      <c r="C527" s="1307">
        <v>4.32</v>
      </c>
      <c r="D527" s="1307">
        <f t="shared" ref="D527:D533" si="20">C527*B527</f>
        <v>14.472000000000001</v>
      </c>
      <c r="E527" s="1307"/>
      <c r="F527" s="1307"/>
      <c r="G527" s="1373">
        <f>D527</f>
        <v>14.472000000000001</v>
      </c>
    </row>
    <row r="528" spans="1:7">
      <c r="A528" s="1371">
        <v>2.35</v>
      </c>
      <c r="B528" s="1307">
        <v>2.35</v>
      </c>
      <c r="C528" s="1307">
        <v>4.32</v>
      </c>
      <c r="D528" s="1307">
        <f t="shared" si="20"/>
        <v>10.152000000000001</v>
      </c>
      <c r="E528" s="1372" t="s">
        <v>1878</v>
      </c>
      <c r="F528" s="1307">
        <f>2.2*1.1</f>
        <v>2.4200000000000004</v>
      </c>
      <c r="G528" s="1373">
        <f>D528-F528</f>
        <v>7.7320000000000011</v>
      </c>
    </row>
    <row r="529" spans="1:7">
      <c r="A529" s="1371">
        <v>4.1500000000000004</v>
      </c>
      <c r="B529" s="1307">
        <v>4.1500000000000004</v>
      </c>
      <c r="C529" s="1307">
        <v>1.27</v>
      </c>
      <c r="D529" s="1307">
        <f t="shared" si="20"/>
        <v>5.2705000000000002</v>
      </c>
      <c r="E529" s="1307"/>
      <c r="F529" s="1307"/>
      <c r="G529" s="1373">
        <f>D529</f>
        <v>5.2705000000000002</v>
      </c>
    </row>
    <row r="530" spans="1:7">
      <c r="A530" s="1328" t="s">
        <v>1936</v>
      </c>
      <c r="B530" s="1307">
        <v>4.1500000000000004</v>
      </c>
      <c r="C530" s="1307">
        <v>1.27</v>
      </c>
      <c r="D530" s="1307">
        <f t="shared" si="20"/>
        <v>5.2705000000000002</v>
      </c>
      <c r="E530" s="1307"/>
      <c r="F530" s="1307"/>
      <c r="G530" s="1373">
        <f>D530</f>
        <v>5.2705000000000002</v>
      </c>
    </row>
    <row r="531" spans="1:7" ht="24">
      <c r="A531" s="1328" t="s">
        <v>1937</v>
      </c>
      <c r="B531" s="1307">
        <f>4.45+4.6+4.6</f>
        <v>13.65</v>
      </c>
      <c r="C531" s="1307">
        <v>1.78</v>
      </c>
      <c r="D531" s="1307">
        <f t="shared" si="20"/>
        <v>24.297000000000001</v>
      </c>
      <c r="E531" s="1307"/>
      <c r="F531" s="1307"/>
      <c r="G531" s="1373">
        <f>D531</f>
        <v>24.297000000000001</v>
      </c>
    </row>
    <row r="532" spans="1:7">
      <c r="A532" s="1328" t="s">
        <v>1938</v>
      </c>
      <c r="B532" s="1307">
        <v>2.5</v>
      </c>
      <c r="C532" s="1307">
        <v>2.2799999999999998</v>
      </c>
      <c r="D532" s="1307">
        <f t="shared" si="20"/>
        <v>5.6999999999999993</v>
      </c>
      <c r="E532" s="1307"/>
      <c r="F532" s="1307"/>
      <c r="G532" s="1373">
        <f>D532</f>
        <v>5.6999999999999993</v>
      </c>
    </row>
    <row r="533" spans="1:7">
      <c r="A533" s="1328" t="s">
        <v>1939</v>
      </c>
      <c r="B533" s="1307">
        <f>3.85+3.85</f>
        <v>7.7</v>
      </c>
      <c r="C533" s="1307">
        <v>2.2799999999999998</v>
      </c>
      <c r="D533" s="1307">
        <f t="shared" si="20"/>
        <v>17.555999999999997</v>
      </c>
      <c r="E533" s="1307"/>
      <c r="F533" s="1307"/>
      <c r="G533" s="1373">
        <f>D533</f>
        <v>17.555999999999997</v>
      </c>
    </row>
    <row r="534" spans="1:7" ht="24">
      <c r="A534" s="1428" t="s">
        <v>1940</v>
      </c>
      <c r="B534" s="1429">
        <v>4.5999999999999996</v>
      </c>
      <c r="C534" s="1406">
        <v>1.93</v>
      </c>
      <c r="D534" s="1406">
        <f>B534*C534</f>
        <v>8.8779999999999983</v>
      </c>
      <c r="E534" s="1406"/>
      <c r="F534" s="1406"/>
      <c r="G534" s="1431">
        <f>D534-F534</f>
        <v>8.8779999999999983</v>
      </c>
    </row>
    <row r="535" spans="1:7">
      <c r="A535" s="2520"/>
      <c r="B535" s="2503"/>
      <c r="C535" s="2503"/>
      <c r="D535" s="2503"/>
      <c r="E535" s="2503"/>
      <c r="F535" s="2503"/>
      <c r="G535" s="2504"/>
    </row>
    <row r="536" spans="1:7">
      <c r="A536" s="2442" t="s">
        <v>1888</v>
      </c>
      <c r="B536" s="2443"/>
      <c r="C536" s="2443"/>
      <c r="D536" s="2443"/>
      <c r="E536" s="2443"/>
      <c r="F536" s="2443"/>
      <c r="G536" s="2444"/>
    </row>
    <row r="537" spans="1:7" ht="24">
      <c r="A537" s="1328" t="s">
        <v>1941</v>
      </c>
      <c r="B537" s="1307">
        <f>3.65+4.8</f>
        <v>8.4499999999999993</v>
      </c>
      <c r="C537" s="1307">
        <v>4.32</v>
      </c>
      <c r="D537" s="1307">
        <f>B537*C537</f>
        <v>36.503999999999998</v>
      </c>
      <c r="E537" s="1372" t="s">
        <v>1942</v>
      </c>
      <c r="F537" s="1307">
        <f>(2.2*1.1)+(2.3+1.1)</f>
        <v>5.82</v>
      </c>
      <c r="G537" s="1373">
        <f>D537-F537</f>
        <v>30.683999999999997</v>
      </c>
    </row>
    <row r="538" spans="1:7">
      <c r="A538" s="1328" t="s">
        <v>1943</v>
      </c>
      <c r="B538" s="1376">
        <f>9.8+4.15</f>
        <v>13.950000000000001</v>
      </c>
      <c r="C538" s="1307">
        <v>2.82</v>
      </c>
      <c r="D538" s="1307">
        <f>B538*C538</f>
        <v>39.338999999999999</v>
      </c>
      <c r="E538" s="1372" t="s">
        <v>1944</v>
      </c>
      <c r="F538" s="1307">
        <f>1.1*0.6*6</f>
        <v>3.96</v>
      </c>
      <c r="G538" s="1373">
        <f>D538-F538</f>
        <v>35.378999999999998</v>
      </c>
    </row>
    <row r="539" spans="1:7">
      <c r="A539" s="1371">
        <v>9.8000000000000007</v>
      </c>
      <c r="B539" s="1427">
        <v>9.8000000000000007</v>
      </c>
      <c r="C539" s="1307">
        <v>2.2799999999999998</v>
      </c>
      <c r="D539" s="1307">
        <f>C539*B539</f>
        <v>22.344000000000001</v>
      </c>
      <c r="E539" s="1307"/>
      <c r="F539" s="1307"/>
      <c r="G539" s="1373">
        <f>D539</f>
        <v>22.344000000000001</v>
      </c>
    </row>
    <row r="540" spans="1:7" ht="36">
      <c r="A540" s="1328" t="s">
        <v>1945</v>
      </c>
      <c r="B540" s="1427">
        <f>7.8+7.8+17.25</f>
        <v>32.85</v>
      </c>
      <c r="C540" s="1307">
        <v>4.32</v>
      </c>
      <c r="D540" s="1307">
        <f>B540*C540</f>
        <v>141.91200000000001</v>
      </c>
      <c r="E540" s="1372" t="s">
        <v>1946</v>
      </c>
      <c r="F540" s="1307">
        <f>((2.3*1.1)*3)+((1.1*0.6)*2)+(1.6*2.1)</f>
        <v>12.27</v>
      </c>
      <c r="G540" s="1373">
        <f>D540-F540</f>
        <v>129.642</v>
      </c>
    </row>
    <row r="541" spans="1:7">
      <c r="A541" s="1371">
        <v>5.15</v>
      </c>
      <c r="B541" s="1427">
        <v>5.15</v>
      </c>
      <c r="C541" s="1307">
        <v>4.2699999999999996</v>
      </c>
      <c r="D541" s="1307">
        <f>B541*C541</f>
        <v>21.990500000000001</v>
      </c>
      <c r="E541" s="1307"/>
      <c r="F541" s="1307"/>
      <c r="G541" s="1373">
        <f>D541</f>
        <v>21.990500000000001</v>
      </c>
    </row>
    <row r="542" spans="1:7">
      <c r="A542" s="1371">
        <v>4.1500000000000004</v>
      </c>
      <c r="B542" s="1427">
        <v>4.1500000000000004</v>
      </c>
      <c r="C542" s="1307">
        <v>2.84</v>
      </c>
      <c r="D542" s="1307">
        <f>B542*C542</f>
        <v>11.786</v>
      </c>
      <c r="E542" s="1372" t="s">
        <v>1947</v>
      </c>
      <c r="F542" s="1307">
        <f>(1.3*2.1)+(2.3*1.1)</f>
        <v>5.26</v>
      </c>
      <c r="G542" s="1373">
        <f>D542-F542</f>
        <v>6.5259999999999998</v>
      </c>
    </row>
    <row r="543" spans="1:7">
      <c r="A543" s="1328" t="s">
        <v>1948</v>
      </c>
      <c r="B543" s="1307">
        <v>7.5</v>
      </c>
      <c r="C543" s="1307">
        <v>1.78</v>
      </c>
      <c r="D543" s="1307">
        <f>C543*B543</f>
        <v>13.35</v>
      </c>
      <c r="E543" s="1307"/>
      <c r="F543" s="1307"/>
      <c r="G543" s="1373">
        <f>D543-F543</f>
        <v>13.35</v>
      </c>
    </row>
    <row r="544" spans="1:7">
      <c r="A544" s="1328" t="s">
        <v>1949</v>
      </c>
      <c r="B544" s="1307">
        <v>16.95</v>
      </c>
      <c r="C544" s="1307">
        <v>1.28</v>
      </c>
      <c r="D544" s="1307">
        <f>C544*B544</f>
        <v>21.695999999999998</v>
      </c>
      <c r="E544" s="1307"/>
      <c r="F544" s="1307"/>
      <c r="G544" s="1373">
        <f>D544-F544</f>
        <v>21.695999999999998</v>
      </c>
    </row>
    <row r="545" spans="1:7" ht="24">
      <c r="A545" s="1328" t="s">
        <v>1950</v>
      </c>
      <c r="B545" s="1307">
        <f>9.5+9.5+9.5</f>
        <v>28.5</v>
      </c>
      <c r="C545" s="1307">
        <v>2.2799999999999998</v>
      </c>
      <c r="D545" s="1307">
        <f>C545*B545</f>
        <v>64.97999999999999</v>
      </c>
      <c r="E545" s="1307"/>
      <c r="F545" s="1307"/>
      <c r="G545" s="1373">
        <f>D545-F545</f>
        <v>64.97999999999999</v>
      </c>
    </row>
    <row r="546" spans="1:7">
      <c r="A546" s="2520"/>
      <c r="B546" s="2503"/>
      <c r="C546" s="2503"/>
      <c r="D546" s="2503"/>
      <c r="E546" s="2503"/>
      <c r="F546" s="2503"/>
      <c r="G546" s="2504"/>
    </row>
    <row r="547" spans="1:7">
      <c r="A547" s="2466" t="s">
        <v>1901</v>
      </c>
      <c r="B547" s="2430"/>
      <c r="C547" s="2430"/>
      <c r="D547" s="2430"/>
      <c r="E547" s="2430"/>
      <c r="F547" s="2430"/>
      <c r="G547" s="2431"/>
    </row>
    <row r="548" spans="1:7">
      <c r="A548" s="2515"/>
      <c r="B548" s="2516"/>
      <c r="C548" s="2472" t="s">
        <v>1859</v>
      </c>
      <c r="D548" s="2473"/>
      <c r="E548" s="2473"/>
      <c r="F548" s="2474"/>
      <c r="G548" s="1373"/>
    </row>
    <row r="549" spans="1:7">
      <c r="A549" s="2509"/>
      <c r="B549" s="2517"/>
      <c r="C549" s="2458" t="s">
        <v>310</v>
      </c>
      <c r="D549" s="2459"/>
      <c r="E549" s="2459"/>
      <c r="F549" s="2460"/>
      <c r="G549" s="1432">
        <f>ROUNDUP(G515+G516+G517+G518+G519+G520+G521+G522,2)</f>
        <v>50.36</v>
      </c>
    </row>
    <row r="550" spans="1:7">
      <c r="A550" s="2509"/>
      <c r="B550" s="2517"/>
      <c r="C550" s="2472" t="s">
        <v>1870</v>
      </c>
      <c r="D550" s="2473"/>
      <c r="E550" s="2473"/>
      <c r="F550" s="2474"/>
      <c r="G550" s="1433"/>
    </row>
    <row r="551" spans="1:7">
      <c r="A551" s="2509"/>
      <c r="B551" s="2517"/>
      <c r="C551" s="2458" t="s">
        <v>310</v>
      </c>
      <c r="D551" s="2459"/>
      <c r="E551" s="2459"/>
      <c r="F551" s="2460"/>
      <c r="G551" s="1432">
        <f>ROUNDUP(G525+G526+G527+G528+G529+G530+G531+G532+G533+G534,2)</f>
        <v>117.23</v>
      </c>
    </row>
    <row r="552" spans="1:7">
      <c r="A552" s="2509"/>
      <c r="B552" s="2517"/>
      <c r="C552" s="2472" t="s">
        <v>1888</v>
      </c>
      <c r="D552" s="2473"/>
      <c r="E552" s="2473"/>
      <c r="F552" s="2474"/>
      <c r="G552" s="1433"/>
    </row>
    <row r="553" spans="1:7">
      <c r="A553" s="2518"/>
      <c r="B553" s="2519"/>
      <c r="C553" s="2458" t="s">
        <v>310</v>
      </c>
      <c r="D553" s="2459"/>
      <c r="E553" s="2459"/>
      <c r="F553" s="2460"/>
      <c r="G553" s="1432">
        <f>ROUNDUP(G537+G538+G539+G540+G541+G542+G543+G544+G545,2)</f>
        <v>346.59999999999997</v>
      </c>
    </row>
    <row r="554" spans="1:7" ht="15.75" thickBot="1">
      <c r="A554" s="2533" t="s">
        <v>325</v>
      </c>
      <c r="B554" s="2534"/>
      <c r="C554" s="2534"/>
      <c r="D554" s="2534"/>
      <c r="E554" s="2534"/>
      <c r="F554" s="2535"/>
      <c r="G554" s="1434">
        <f>ROUNDUP(G549+G551+G553,2)</f>
        <v>514.19000000000005</v>
      </c>
    </row>
    <row r="555" spans="1:7" ht="15.75" thickBot="1">
      <c r="A555" s="1448"/>
      <c r="B555" s="1449"/>
      <c r="C555" s="1449"/>
      <c r="D555" s="1449"/>
      <c r="E555" s="1449"/>
      <c r="F555" s="1449"/>
      <c r="G555" s="1450"/>
    </row>
    <row r="556" spans="1:7" ht="15.75" thickBot="1">
      <c r="A556" s="1299" t="s">
        <v>1951</v>
      </c>
      <c r="B556" s="2366" t="s">
        <v>1952</v>
      </c>
      <c r="C556" s="2367"/>
      <c r="D556" s="2367"/>
      <c r="E556" s="2367"/>
      <c r="F556" s="2367"/>
      <c r="G556" s="2368"/>
    </row>
    <row r="557" spans="1:7">
      <c r="A557" s="2369" t="s">
        <v>306</v>
      </c>
      <c r="B557" s="2370"/>
      <c r="C557" s="2370"/>
      <c r="D557" s="2370"/>
      <c r="E557" s="2370"/>
      <c r="F557" s="2370"/>
      <c r="G557" s="2371"/>
    </row>
    <row r="558" spans="1:7">
      <c r="A558" s="2488" t="s">
        <v>1858</v>
      </c>
      <c r="B558" s="2489"/>
      <c r="C558" s="2489"/>
      <c r="D558" s="2489"/>
      <c r="E558" s="2489"/>
      <c r="F558" s="2489"/>
      <c r="G558" s="2490"/>
    </row>
    <row r="559" spans="1:7">
      <c r="A559" s="1313" t="s">
        <v>321</v>
      </c>
      <c r="B559" s="1314" t="s">
        <v>321</v>
      </c>
      <c r="C559" s="1314" t="s">
        <v>1744</v>
      </c>
      <c r="D559" s="1314" t="s">
        <v>324</v>
      </c>
      <c r="E559" s="1314" t="s">
        <v>1745</v>
      </c>
      <c r="F559" s="1314" t="s">
        <v>1746</v>
      </c>
      <c r="G559" s="1370" t="s">
        <v>1747</v>
      </c>
    </row>
    <row r="560" spans="1:7">
      <c r="A560" s="2442" t="s">
        <v>1859</v>
      </c>
      <c r="B560" s="2443"/>
      <c r="C560" s="2443"/>
      <c r="D560" s="2443"/>
      <c r="E560" s="2443"/>
      <c r="F560" s="2443"/>
      <c r="G560" s="2444"/>
    </row>
    <row r="561" spans="1:7">
      <c r="A561" s="1371">
        <v>1.5</v>
      </c>
      <c r="B561" s="1307">
        <v>1.5</v>
      </c>
      <c r="C561" s="1307">
        <v>2.82</v>
      </c>
      <c r="D561" s="1307">
        <f>B561*C561</f>
        <v>4.2299999999999995</v>
      </c>
      <c r="E561" s="1307"/>
      <c r="F561" s="1307"/>
      <c r="G561" s="1373">
        <f>D561</f>
        <v>4.2299999999999995</v>
      </c>
    </row>
    <row r="562" spans="1:7">
      <c r="A562" s="1371">
        <v>1.5</v>
      </c>
      <c r="B562" s="1307">
        <v>1.5</v>
      </c>
      <c r="C562" s="1307">
        <v>2.2799999999999998</v>
      </c>
      <c r="D562" s="1307">
        <f>B562*C562</f>
        <v>3.42</v>
      </c>
      <c r="E562" s="1307"/>
      <c r="F562" s="1307"/>
      <c r="G562" s="1373">
        <f>D562</f>
        <v>3.42</v>
      </c>
    </row>
    <row r="563" spans="1:7">
      <c r="A563" s="2520"/>
      <c r="B563" s="2503"/>
      <c r="C563" s="2503"/>
      <c r="D563" s="2503"/>
      <c r="E563" s="2503"/>
      <c r="F563" s="2503"/>
      <c r="G563" s="2504"/>
    </row>
    <row r="564" spans="1:7">
      <c r="A564" s="2442" t="s">
        <v>1870</v>
      </c>
      <c r="B564" s="2443"/>
      <c r="C564" s="2443"/>
      <c r="D564" s="2443"/>
      <c r="E564" s="2443"/>
      <c r="F564" s="2443"/>
      <c r="G564" s="2444"/>
    </row>
    <row r="565" spans="1:7">
      <c r="A565" s="1371">
        <v>1.5</v>
      </c>
      <c r="B565" s="1307">
        <v>1.5</v>
      </c>
      <c r="C565" s="1307">
        <v>4.32</v>
      </c>
      <c r="D565" s="1307">
        <f>B565*C565</f>
        <v>6.48</v>
      </c>
      <c r="E565" s="1307"/>
      <c r="F565" s="1307"/>
      <c r="G565" s="1373">
        <f>D565</f>
        <v>6.48</v>
      </c>
    </row>
    <row r="566" spans="1:7">
      <c r="A566" s="1328" t="s">
        <v>1938</v>
      </c>
      <c r="B566" s="1307">
        <v>2.5</v>
      </c>
      <c r="C566" s="1307">
        <v>2.2799999999999998</v>
      </c>
      <c r="D566" s="1307">
        <f>C566*B566</f>
        <v>5.6999999999999993</v>
      </c>
      <c r="E566" s="1307"/>
      <c r="F566" s="1307"/>
      <c r="G566" s="1373">
        <f>D566-F566</f>
        <v>5.6999999999999993</v>
      </c>
    </row>
    <row r="567" spans="1:7">
      <c r="A567" s="2520"/>
      <c r="B567" s="2503"/>
      <c r="C567" s="2503"/>
      <c r="D567" s="2503"/>
      <c r="E567" s="2503"/>
      <c r="F567" s="2503"/>
      <c r="G567" s="2504"/>
    </row>
    <row r="568" spans="1:7">
      <c r="A568" s="2442" t="s">
        <v>1888</v>
      </c>
      <c r="B568" s="2443"/>
      <c r="C568" s="2443"/>
      <c r="D568" s="2443"/>
      <c r="E568" s="2443"/>
      <c r="F568" s="2443"/>
      <c r="G568" s="2444"/>
    </row>
    <row r="569" spans="1:7" ht="24">
      <c r="A569" s="1328" t="s">
        <v>1941</v>
      </c>
      <c r="B569" s="1307">
        <f>3.65+4.8</f>
        <v>8.4499999999999993</v>
      </c>
      <c r="C569" s="1307">
        <v>4.32</v>
      </c>
      <c r="D569" s="1307">
        <f>B569*C569</f>
        <v>36.503999999999998</v>
      </c>
      <c r="E569" s="1372" t="s">
        <v>1942</v>
      </c>
      <c r="F569" s="1307">
        <f>(2.2*1.1)+(2.3+1.1)</f>
        <v>5.82</v>
      </c>
      <c r="G569" s="1373">
        <f>D569-F569</f>
        <v>30.683999999999997</v>
      </c>
    </row>
    <row r="570" spans="1:7">
      <c r="A570" s="1328" t="s">
        <v>1943</v>
      </c>
      <c r="B570" s="1376">
        <f>9.8+4.15</f>
        <v>13.950000000000001</v>
      </c>
      <c r="C570" s="1307">
        <v>2.82</v>
      </c>
      <c r="D570" s="1307">
        <f>B570*C570</f>
        <v>39.338999999999999</v>
      </c>
      <c r="E570" s="1372" t="s">
        <v>1944</v>
      </c>
      <c r="F570" s="1307">
        <f>1.1*0.6*6</f>
        <v>3.96</v>
      </c>
      <c r="G570" s="1373">
        <f>D570-F570</f>
        <v>35.378999999999998</v>
      </c>
    </row>
    <row r="571" spans="1:7">
      <c r="A571" s="1371">
        <v>9.8000000000000007</v>
      </c>
      <c r="B571" s="1427">
        <v>9.8000000000000007</v>
      </c>
      <c r="C571" s="1307">
        <v>2.2799999999999998</v>
      </c>
      <c r="D571" s="1307">
        <f>C571*B571</f>
        <v>22.344000000000001</v>
      </c>
      <c r="E571" s="1307"/>
      <c r="F571" s="1307"/>
      <c r="G571" s="1373">
        <f>D571-F571</f>
        <v>22.344000000000001</v>
      </c>
    </row>
    <row r="572" spans="1:7">
      <c r="A572" s="2520"/>
      <c r="B572" s="2503"/>
      <c r="C572" s="2503"/>
      <c r="D572" s="2503"/>
      <c r="E572" s="2503"/>
      <c r="F572" s="2503"/>
      <c r="G572" s="2504"/>
    </row>
    <row r="573" spans="1:7">
      <c r="A573" s="2466" t="s">
        <v>1924</v>
      </c>
      <c r="B573" s="2430"/>
      <c r="C573" s="2430"/>
      <c r="D573" s="2430"/>
      <c r="E573" s="2430"/>
      <c r="F573" s="2430"/>
      <c r="G573" s="2431"/>
    </row>
    <row r="574" spans="1:7">
      <c r="A574" s="2515"/>
      <c r="B574" s="2516"/>
      <c r="C574" s="2472" t="s">
        <v>1859</v>
      </c>
      <c r="D574" s="2473"/>
      <c r="E574" s="2473"/>
      <c r="F574" s="2474"/>
      <c r="G574" s="1373"/>
    </row>
    <row r="575" spans="1:7">
      <c r="A575" s="2509"/>
      <c r="B575" s="2517"/>
      <c r="C575" s="2458" t="s">
        <v>310</v>
      </c>
      <c r="D575" s="2459"/>
      <c r="E575" s="2459"/>
      <c r="F575" s="2460"/>
      <c r="G575" s="1432">
        <f>ROUNDUP(G561+G562,2)</f>
        <v>7.65</v>
      </c>
    </row>
    <row r="576" spans="1:7">
      <c r="A576" s="2509"/>
      <c r="B576" s="2517"/>
      <c r="C576" s="2472" t="s">
        <v>1870</v>
      </c>
      <c r="D576" s="2473"/>
      <c r="E576" s="2473"/>
      <c r="F576" s="2474"/>
      <c r="G576" s="1433"/>
    </row>
    <row r="577" spans="1:7">
      <c r="A577" s="2509"/>
      <c r="B577" s="2517"/>
      <c r="C577" s="2458" t="s">
        <v>310</v>
      </c>
      <c r="D577" s="2459"/>
      <c r="E577" s="2459"/>
      <c r="F577" s="2460"/>
      <c r="G577" s="1432">
        <f>ROUNDUP(G565+G566,2)</f>
        <v>12.18</v>
      </c>
    </row>
    <row r="578" spans="1:7">
      <c r="A578" s="2509"/>
      <c r="B578" s="2517"/>
      <c r="C578" s="2472" t="s">
        <v>1888</v>
      </c>
      <c r="D578" s="2473"/>
      <c r="E578" s="2473"/>
      <c r="F578" s="2474"/>
      <c r="G578" s="1433"/>
    </row>
    <row r="579" spans="1:7">
      <c r="A579" s="2518"/>
      <c r="B579" s="2519"/>
      <c r="C579" s="2458" t="s">
        <v>310</v>
      </c>
      <c r="D579" s="2459"/>
      <c r="E579" s="2459"/>
      <c r="F579" s="2460"/>
      <c r="G579" s="1432">
        <f>ROUNDUP(G569+G570+G571,2)</f>
        <v>88.410000000000011</v>
      </c>
    </row>
    <row r="580" spans="1:7" ht="15.75" thickBot="1">
      <c r="A580" s="2533" t="s">
        <v>325</v>
      </c>
      <c r="B580" s="2534"/>
      <c r="C580" s="2534"/>
      <c r="D580" s="2534"/>
      <c r="E580" s="2534"/>
      <c r="F580" s="2535"/>
      <c r="G580" s="1434">
        <f>ROUNDUP(G575+G577+G579,2)</f>
        <v>108.24</v>
      </c>
    </row>
    <row r="581" spans="1:7" ht="15.75" thickBot="1">
      <c r="A581" s="1448"/>
      <c r="B581" s="1449"/>
      <c r="C581" s="1449"/>
      <c r="D581" s="1449"/>
      <c r="E581" s="1449"/>
      <c r="F581" s="1449"/>
      <c r="G581" s="1450"/>
    </row>
    <row r="582" spans="1:7" ht="15.75" thickBot="1">
      <c r="A582" s="1299" t="s">
        <v>1953</v>
      </c>
      <c r="B582" s="2366" t="s">
        <v>1954</v>
      </c>
      <c r="C582" s="2367"/>
      <c r="D582" s="2367"/>
      <c r="E582" s="2367"/>
      <c r="F582" s="2367"/>
      <c r="G582" s="2368"/>
    </row>
    <row r="583" spans="1:7">
      <c r="A583" s="2369" t="s">
        <v>306</v>
      </c>
      <c r="B583" s="2370"/>
      <c r="C583" s="2370"/>
      <c r="D583" s="2370"/>
      <c r="E583" s="2370"/>
      <c r="F583" s="2370"/>
      <c r="G583" s="2371"/>
    </row>
    <row r="584" spans="1:7">
      <c r="A584" s="2488" t="s">
        <v>1858</v>
      </c>
      <c r="B584" s="2489"/>
      <c r="C584" s="2489"/>
      <c r="D584" s="2489"/>
      <c r="E584" s="2489"/>
      <c r="F584" s="2489"/>
      <c r="G584" s="2490"/>
    </row>
    <row r="585" spans="1:7">
      <c r="A585" s="1313" t="s">
        <v>321</v>
      </c>
      <c r="B585" s="1314" t="s">
        <v>321</v>
      </c>
      <c r="C585" s="1314" t="s">
        <v>1744</v>
      </c>
      <c r="D585" s="1314" t="s">
        <v>324</v>
      </c>
      <c r="E585" s="1314" t="s">
        <v>1745</v>
      </c>
      <c r="F585" s="1314" t="s">
        <v>1746</v>
      </c>
      <c r="G585" s="1370" t="s">
        <v>1747</v>
      </c>
    </row>
    <row r="586" spans="1:7">
      <c r="A586" s="2442" t="s">
        <v>1859</v>
      </c>
      <c r="B586" s="2443"/>
      <c r="C586" s="2443"/>
      <c r="D586" s="2443"/>
      <c r="E586" s="2443"/>
      <c r="F586" s="2443"/>
      <c r="G586" s="2444"/>
    </row>
    <row r="587" spans="1:7" ht="24">
      <c r="A587" s="1328" t="s">
        <v>1930</v>
      </c>
      <c r="B587" s="1307">
        <f>4.75+9.5+4.75</f>
        <v>19</v>
      </c>
      <c r="C587" s="1307">
        <v>0.15</v>
      </c>
      <c r="D587" s="1307">
        <f t="shared" ref="D587:D592" si="21">C587*B587</f>
        <v>2.85</v>
      </c>
      <c r="E587" s="1307"/>
      <c r="F587" s="1307"/>
      <c r="G587" s="1373">
        <f t="shared" ref="G587:G592" si="22">D587-F587</f>
        <v>2.85</v>
      </c>
    </row>
    <row r="588" spans="1:7" ht="36">
      <c r="A588" s="1328" t="s">
        <v>1931</v>
      </c>
      <c r="B588" s="1307">
        <f>4.15+4+1.6+3.08+4.5+1.65+5.15+4</f>
        <v>28.129999999999995</v>
      </c>
      <c r="C588" s="1307">
        <v>0.15</v>
      </c>
      <c r="D588" s="1307">
        <f t="shared" si="21"/>
        <v>4.2194999999999991</v>
      </c>
      <c r="E588" s="1307"/>
      <c r="F588" s="1307"/>
      <c r="G588" s="1373">
        <f t="shared" si="22"/>
        <v>4.2194999999999991</v>
      </c>
    </row>
    <row r="589" spans="1:7" ht="24">
      <c r="A589" s="1328" t="s">
        <v>1932</v>
      </c>
      <c r="B589" s="1307">
        <f>3.85+3.85+9.8+9.8</f>
        <v>27.3</v>
      </c>
      <c r="C589" s="1307">
        <v>0.15</v>
      </c>
      <c r="D589" s="1307">
        <f t="shared" si="21"/>
        <v>4.0949999999999998</v>
      </c>
      <c r="E589" s="1307"/>
      <c r="F589" s="1307"/>
      <c r="G589" s="1373">
        <f t="shared" si="22"/>
        <v>4.0949999999999998</v>
      </c>
    </row>
    <row r="590" spans="1:7" ht="24">
      <c r="A590" s="1328" t="s">
        <v>1933</v>
      </c>
      <c r="B590" s="1307">
        <f>7.8+7.5+17.1+3.35</f>
        <v>35.750000000000007</v>
      </c>
      <c r="C590" s="1307">
        <v>0.15</v>
      </c>
      <c r="D590" s="1307">
        <f t="shared" si="21"/>
        <v>5.3625000000000007</v>
      </c>
      <c r="E590" s="1307"/>
      <c r="F590" s="1307"/>
      <c r="G590" s="1373">
        <f t="shared" si="22"/>
        <v>5.3625000000000007</v>
      </c>
    </row>
    <row r="591" spans="1:7">
      <c r="A591" s="1328" t="s">
        <v>1934</v>
      </c>
      <c r="B591" s="1307">
        <f>3.35+1.8</f>
        <v>5.15</v>
      </c>
      <c r="C591" s="1307">
        <v>1.28</v>
      </c>
      <c r="D591" s="1307">
        <f t="shared" si="21"/>
        <v>6.5920000000000005</v>
      </c>
      <c r="E591" s="1307"/>
      <c r="F591" s="1307"/>
      <c r="G591" s="1373">
        <f t="shared" si="22"/>
        <v>6.5920000000000005</v>
      </c>
    </row>
    <row r="592" spans="1:7">
      <c r="A592" s="1328" t="s">
        <v>1935</v>
      </c>
      <c r="B592" s="1307">
        <f>7.8+7.5</f>
        <v>15.3</v>
      </c>
      <c r="C592" s="1307">
        <v>1.28</v>
      </c>
      <c r="D592" s="1307">
        <f t="shared" si="21"/>
        <v>19.584</v>
      </c>
      <c r="E592" s="1307"/>
      <c r="F592" s="1307"/>
      <c r="G592" s="1373">
        <f t="shared" si="22"/>
        <v>19.584</v>
      </c>
    </row>
    <row r="593" spans="1:7">
      <c r="A593" s="2520"/>
      <c r="B593" s="2503"/>
      <c r="C593" s="2503"/>
      <c r="D593" s="2503"/>
      <c r="E593" s="2503"/>
      <c r="F593" s="2503"/>
      <c r="G593" s="2504"/>
    </row>
    <row r="594" spans="1:7">
      <c r="A594" s="2442" t="s">
        <v>1870</v>
      </c>
      <c r="B594" s="2443"/>
      <c r="C594" s="2443"/>
      <c r="D594" s="2443"/>
      <c r="E594" s="2443"/>
      <c r="F594" s="2443"/>
      <c r="G594" s="2444"/>
    </row>
    <row r="595" spans="1:7">
      <c r="A595" s="1371">
        <v>4.1500000000000004</v>
      </c>
      <c r="B595" s="1307">
        <v>4.1500000000000004</v>
      </c>
      <c r="C595" s="1307">
        <v>2.2799999999999998</v>
      </c>
      <c r="D595" s="1307">
        <f t="shared" ref="D595:D601" si="23">C595*B595</f>
        <v>9.4619999999999997</v>
      </c>
      <c r="E595" s="1307"/>
      <c r="F595" s="1307"/>
      <c r="G595" s="1373">
        <f>D595*C595</f>
        <v>21.573359999999997</v>
      </c>
    </row>
    <row r="596" spans="1:7">
      <c r="A596" s="1371">
        <v>3.35</v>
      </c>
      <c r="B596" s="1307">
        <v>3.35</v>
      </c>
      <c r="C596" s="1307">
        <v>4.32</v>
      </c>
      <c r="D596" s="1307">
        <f t="shared" si="23"/>
        <v>14.472000000000001</v>
      </c>
      <c r="E596" s="1307"/>
      <c r="F596" s="1307"/>
      <c r="G596" s="1373">
        <f>D596</f>
        <v>14.472000000000001</v>
      </c>
    </row>
    <row r="597" spans="1:7">
      <c r="A597" s="1371">
        <v>2.35</v>
      </c>
      <c r="B597" s="1307">
        <v>2.35</v>
      </c>
      <c r="C597" s="1307">
        <v>4.32</v>
      </c>
      <c r="D597" s="1307">
        <f t="shared" si="23"/>
        <v>10.152000000000001</v>
      </c>
      <c r="E597" s="1372" t="s">
        <v>1878</v>
      </c>
      <c r="F597" s="1307">
        <f>2.2*1.1</f>
        <v>2.4200000000000004</v>
      </c>
      <c r="G597" s="1373">
        <f>D597-F597</f>
        <v>7.7320000000000011</v>
      </c>
    </row>
    <row r="598" spans="1:7">
      <c r="A598" s="1371">
        <v>4.1500000000000004</v>
      </c>
      <c r="B598" s="1307">
        <v>4.1500000000000004</v>
      </c>
      <c r="C598" s="1307">
        <v>1.27</v>
      </c>
      <c r="D598" s="1307">
        <f t="shared" si="23"/>
        <v>5.2705000000000002</v>
      </c>
      <c r="E598" s="1307"/>
      <c r="F598" s="1307"/>
      <c r="G598" s="1373">
        <f>D598</f>
        <v>5.2705000000000002</v>
      </c>
    </row>
    <row r="599" spans="1:7">
      <c r="A599" s="1328" t="s">
        <v>1936</v>
      </c>
      <c r="B599" s="1307">
        <v>4.1500000000000004</v>
      </c>
      <c r="C599" s="1307">
        <v>1.27</v>
      </c>
      <c r="D599" s="1307">
        <f t="shared" si="23"/>
        <v>5.2705000000000002</v>
      </c>
      <c r="E599" s="1307"/>
      <c r="F599" s="1307"/>
      <c r="G599" s="1373">
        <f>D599</f>
        <v>5.2705000000000002</v>
      </c>
    </row>
    <row r="600" spans="1:7" ht="24">
      <c r="A600" s="1328" t="s">
        <v>1937</v>
      </c>
      <c r="B600" s="1307">
        <f>4.45+4.6+4.6</f>
        <v>13.65</v>
      </c>
      <c r="C600" s="1307">
        <v>1.78</v>
      </c>
      <c r="D600" s="1307">
        <f t="shared" si="23"/>
        <v>24.297000000000001</v>
      </c>
      <c r="E600" s="1307"/>
      <c r="F600" s="1307"/>
      <c r="G600" s="1373">
        <f>D600</f>
        <v>24.297000000000001</v>
      </c>
    </row>
    <row r="601" spans="1:7">
      <c r="A601" s="1328" t="s">
        <v>1939</v>
      </c>
      <c r="B601" s="1307">
        <f>3.85+3.85</f>
        <v>7.7</v>
      </c>
      <c r="C601" s="1307">
        <v>2.2799999999999998</v>
      </c>
      <c r="D601" s="1307">
        <f t="shared" si="23"/>
        <v>17.555999999999997</v>
      </c>
      <c r="E601" s="1307"/>
      <c r="F601" s="1307"/>
      <c r="G601" s="1373">
        <f>D601</f>
        <v>17.555999999999997</v>
      </c>
    </row>
    <row r="602" spans="1:7" ht="24">
      <c r="A602" s="1428" t="s">
        <v>1940</v>
      </c>
      <c r="B602" s="1429">
        <v>4.5999999999999996</v>
      </c>
      <c r="C602" s="1406">
        <v>1.93</v>
      </c>
      <c r="D602" s="1406">
        <f>B602*C602</f>
        <v>8.8779999999999983</v>
      </c>
      <c r="E602" s="1406"/>
      <c r="F602" s="1406"/>
      <c r="G602" s="1431">
        <f>D602-F602</f>
        <v>8.8779999999999983</v>
      </c>
    </row>
    <row r="603" spans="1:7">
      <c r="A603" s="2520"/>
      <c r="B603" s="2503"/>
      <c r="C603" s="2503"/>
      <c r="D603" s="2503"/>
      <c r="E603" s="2503"/>
      <c r="F603" s="2503"/>
      <c r="G603" s="2504"/>
    </row>
    <row r="604" spans="1:7">
      <c r="A604" s="2442" t="s">
        <v>1888</v>
      </c>
      <c r="B604" s="2443"/>
      <c r="C604" s="2443"/>
      <c r="D604" s="2443"/>
      <c r="E604" s="2443"/>
      <c r="F604" s="2443"/>
      <c r="G604" s="2444"/>
    </row>
    <row r="605" spans="1:7" ht="24">
      <c r="A605" s="1328" t="s">
        <v>1941</v>
      </c>
      <c r="B605" s="1307">
        <f>3.65+4.8</f>
        <v>8.4499999999999993</v>
      </c>
      <c r="C605" s="1307">
        <v>4.32</v>
      </c>
      <c r="D605" s="1307">
        <f>B605*C605</f>
        <v>36.503999999999998</v>
      </c>
      <c r="E605" s="1372" t="s">
        <v>1942</v>
      </c>
      <c r="F605" s="1307">
        <f>(2.2*1.1)+(2.3+1.1)</f>
        <v>5.82</v>
      </c>
      <c r="G605" s="1373">
        <f>D605-F605</f>
        <v>30.683999999999997</v>
      </c>
    </row>
    <row r="606" spans="1:7" ht="36">
      <c r="A606" s="1328" t="s">
        <v>1945</v>
      </c>
      <c r="B606" s="1427">
        <f>7.8+7.8+17.25</f>
        <v>32.85</v>
      </c>
      <c r="C606" s="1307">
        <v>4.32</v>
      </c>
      <c r="D606" s="1307">
        <f>B606*C606</f>
        <v>141.91200000000001</v>
      </c>
      <c r="E606" s="1372" t="s">
        <v>1946</v>
      </c>
      <c r="F606" s="1307">
        <f>((2.3*1.1)*3)+((1.1*0.6)*2)+(1.6*2.1)</f>
        <v>12.27</v>
      </c>
      <c r="G606" s="1373">
        <f>D606-F606</f>
        <v>129.642</v>
      </c>
    </row>
    <row r="607" spans="1:7">
      <c r="A607" s="1371">
        <v>5.15</v>
      </c>
      <c r="B607" s="1427">
        <v>5.15</v>
      </c>
      <c r="C607" s="1307">
        <v>4.2699999999999996</v>
      </c>
      <c r="D607" s="1307">
        <f>B607*C607</f>
        <v>21.990500000000001</v>
      </c>
      <c r="E607" s="1307"/>
      <c r="F607" s="1307"/>
      <c r="G607" s="1373">
        <f>D607</f>
        <v>21.990500000000001</v>
      </c>
    </row>
    <row r="608" spans="1:7">
      <c r="A608" s="1371">
        <v>4.1500000000000004</v>
      </c>
      <c r="B608" s="1427">
        <v>4.1500000000000004</v>
      </c>
      <c r="C608" s="1307">
        <v>2.84</v>
      </c>
      <c r="D608" s="1307">
        <f>B608*C608</f>
        <v>11.786</v>
      </c>
      <c r="E608" s="1372" t="s">
        <v>1947</v>
      </c>
      <c r="F608" s="1307">
        <f>(1.3*2.1)+(2.3*1.1)</f>
        <v>5.26</v>
      </c>
      <c r="G608" s="1373">
        <f>D608-F608</f>
        <v>6.5259999999999998</v>
      </c>
    </row>
    <row r="609" spans="1:7">
      <c r="A609" s="1328" t="s">
        <v>1948</v>
      </c>
      <c r="B609" s="1307">
        <v>7.5</v>
      </c>
      <c r="C609" s="1307">
        <v>1.78</v>
      </c>
      <c r="D609" s="1307">
        <f>C609*B609</f>
        <v>13.35</v>
      </c>
      <c r="E609" s="1307"/>
      <c r="F609" s="1307"/>
      <c r="G609" s="1373">
        <f>D609-F609</f>
        <v>13.35</v>
      </c>
    </row>
    <row r="610" spans="1:7">
      <c r="A610" s="1328" t="s">
        <v>1949</v>
      </c>
      <c r="B610" s="1307">
        <v>16.95</v>
      </c>
      <c r="C610" s="1307">
        <v>1.28</v>
      </c>
      <c r="D610" s="1307">
        <f>C610*B610</f>
        <v>21.695999999999998</v>
      </c>
      <c r="E610" s="1307"/>
      <c r="F610" s="1307"/>
      <c r="G610" s="1373">
        <f>D610-F610</f>
        <v>21.695999999999998</v>
      </c>
    </row>
    <row r="611" spans="1:7" ht="24">
      <c r="A611" s="1328" t="s">
        <v>1950</v>
      </c>
      <c r="B611" s="1307">
        <f>9.5+9.5+9.5</f>
        <v>28.5</v>
      </c>
      <c r="C611" s="1307">
        <v>2.2799999999999998</v>
      </c>
      <c r="D611" s="1307">
        <f>C611*B611</f>
        <v>64.97999999999999</v>
      </c>
      <c r="E611" s="1307"/>
      <c r="F611" s="1307"/>
      <c r="G611" s="1373">
        <f>D611-F611</f>
        <v>64.97999999999999</v>
      </c>
    </row>
    <row r="612" spans="1:7">
      <c r="A612" s="2520"/>
      <c r="B612" s="2503"/>
      <c r="C612" s="2503"/>
      <c r="D612" s="2503"/>
      <c r="E612" s="2503"/>
      <c r="F612" s="2503"/>
      <c r="G612" s="2504"/>
    </row>
    <row r="613" spans="1:7">
      <c r="A613" s="2466" t="s">
        <v>1955</v>
      </c>
      <c r="B613" s="2430"/>
      <c r="C613" s="2430"/>
      <c r="D613" s="2430"/>
      <c r="E613" s="2430"/>
      <c r="F613" s="2430"/>
      <c r="G613" s="2431"/>
    </row>
    <row r="614" spans="1:7">
      <c r="A614" s="2515"/>
      <c r="B614" s="2516"/>
      <c r="C614" s="2472" t="s">
        <v>1859</v>
      </c>
      <c r="D614" s="2473"/>
      <c r="E614" s="2473"/>
      <c r="F614" s="2474"/>
      <c r="G614" s="1373"/>
    </row>
    <row r="615" spans="1:7">
      <c r="A615" s="2509"/>
      <c r="B615" s="2517"/>
      <c r="C615" s="2458" t="s">
        <v>310</v>
      </c>
      <c r="D615" s="2459"/>
      <c r="E615" s="2459"/>
      <c r="F615" s="2460"/>
      <c r="G615" s="1432">
        <f>ROUNDUP(G587+G588+G589+G590+G591+G592,2)</f>
        <v>42.71</v>
      </c>
    </row>
    <row r="616" spans="1:7">
      <c r="A616" s="2509"/>
      <c r="B616" s="2517"/>
      <c r="C616" s="2472" t="s">
        <v>1870</v>
      </c>
      <c r="D616" s="2473"/>
      <c r="E616" s="2473"/>
      <c r="F616" s="2474"/>
      <c r="G616" s="1433"/>
    </row>
    <row r="617" spans="1:7">
      <c r="A617" s="2509"/>
      <c r="B617" s="2517"/>
      <c r="C617" s="2458" t="s">
        <v>310</v>
      </c>
      <c r="D617" s="2459"/>
      <c r="E617" s="2459"/>
      <c r="F617" s="2460"/>
      <c r="G617" s="1432">
        <f>ROUNDUP(G595+G596+G597+G598+G599+G600+G601+G602,2)</f>
        <v>105.05000000000001</v>
      </c>
    </row>
    <row r="618" spans="1:7">
      <c r="A618" s="2509"/>
      <c r="B618" s="2517"/>
      <c r="C618" s="2472" t="s">
        <v>1888</v>
      </c>
      <c r="D618" s="2473"/>
      <c r="E618" s="2473"/>
      <c r="F618" s="2474"/>
      <c r="G618" s="1433"/>
    </row>
    <row r="619" spans="1:7">
      <c r="A619" s="2518"/>
      <c r="B619" s="2519"/>
      <c r="C619" s="2458" t="s">
        <v>310</v>
      </c>
      <c r="D619" s="2459"/>
      <c r="E619" s="2459"/>
      <c r="F619" s="2460"/>
      <c r="G619" s="1432">
        <f>ROUNDUP(G605+G606+G607+G608+G609+G610+G611,2)</f>
        <v>288.87</v>
      </c>
    </row>
    <row r="620" spans="1:7" ht="15.75" thickBot="1">
      <c r="A620" s="2533" t="s">
        <v>325</v>
      </c>
      <c r="B620" s="2534"/>
      <c r="C620" s="2534"/>
      <c r="D620" s="2534"/>
      <c r="E620" s="2534"/>
      <c r="F620" s="2535"/>
      <c r="G620" s="1434">
        <f>ROUNDUP(G615+G617+G619,2)</f>
        <v>436.63</v>
      </c>
    </row>
    <row r="621" spans="1:7" ht="15.75" thickBot="1">
      <c r="A621" s="1451"/>
      <c r="B621" s="1452"/>
      <c r="C621" s="1452"/>
      <c r="D621" s="1452"/>
      <c r="E621" s="1452"/>
      <c r="F621" s="1452"/>
      <c r="G621" s="1453"/>
    </row>
    <row r="622" spans="1:7" ht="15.75" thickBot="1">
      <c r="A622" s="1299" t="s">
        <v>1956</v>
      </c>
      <c r="B622" s="2366" t="s">
        <v>1957</v>
      </c>
      <c r="C622" s="2367"/>
      <c r="D622" s="2367"/>
      <c r="E622" s="2367"/>
      <c r="F622" s="2367"/>
      <c r="G622" s="2368"/>
    </row>
    <row r="623" spans="1:7">
      <c r="A623" s="2369" t="s">
        <v>306</v>
      </c>
      <c r="B623" s="2370"/>
      <c r="C623" s="2370"/>
      <c r="D623" s="2370"/>
      <c r="E623" s="2370"/>
      <c r="F623" s="2370"/>
      <c r="G623" s="2371"/>
    </row>
    <row r="624" spans="1:7">
      <c r="A624" s="2488" t="s">
        <v>1858</v>
      </c>
      <c r="B624" s="2489"/>
      <c r="C624" s="2489"/>
      <c r="D624" s="2489"/>
      <c r="E624" s="2489"/>
      <c r="F624" s="2489"/>
      <c r="G624" s="2490"/>
    </row>
    <row r="625" spans="1:7">
      <c r="A625" s="1313" t="s">
        <v>321</v>
      </c>
      <c r="B625" s="1314" t="s">
        <v>321</v>
      </c>
      <c r="C625" s="1314" t="s">
        <v>1744</v>
      </c>
      <c r="D625" s="1314" t="s">
        <v>324</v>
      </c>
      <c r="E625" s="1314" t="s">
        <v>1745</v>
      </c>
      <c r="F625" s="1314" t="s">
        <v>1746</v>
      </c>
      <c r="G625" s="1370" t="s">
        <v>1747</v>
      </c>
    </row>
    <row r="626" spans="1:7">
      <c r="A626" s="2442" t="s">
        <v>1859</v>
      </c>
      <c r="B626" s="2443"/>
      <c r="C626" s="2443"/>
      <c r="D626" s="2443"/>
      <c r="E626" s="2443"/>
      <c r="F626" s="2443"/>
      <c r="G626" s="2444"/>
    </row>
    <row r="627" spans="1:7">
      <c r="A627" s="1371">
        <v>1.5</v>
      </c>
      <c r="B627" s="1307">
        <v>1.5</v>
      </c>
      <c r="C627" s="1307">
        <v>2.82</v>
      </c>
      <c r="D627" s="1307">
        <f>B627*C627</f>
        <v>4.2299999999999995</v>
      </c>
      <c r="E627" s="1307"/>
      <c r="F627" s="1307"/>
      <c r="G627" s="1373">
        <f>D627</f>
        <v>4.2299999999999995</v>
      </c>
    </row>
    <row r="628" spans="1:7">
      <c r="A628" s="1371">
        <v>1.5</v>
      </c>
      <c r="B628" s="1307">
        <v>1.5</v>
      </c>
      <c r="C628" s="1307">
        <v>2.2799999999999998</v>
      </c>
      <c r="D628" s="1307">
        <f>B628*C628</f>
        <v>3.42</v>
      </c>
      <c r="E628" s="1307"/>
      <c r="F628" s="1307"/>
      <c r="G628" s="1373">
        <f>D628</f>
        <v>3.42</v>
      </c>
    </row>
    <row r="629" spans="1:7">
      <c r="A629" s="2520"/>
      <c r="B629" s="2503"/>
      <c r="C629" s="2503"/>
      <c r="D629" s="2503"/>
      <c r="E629" s="2503"/>
      <c r="F629" s="2503"/>
      <c r="G629" s="2504"/>
    </row>
    <row r="630" spans="1:7">
      <c r="A630" s="2442" t="s">
        <v>1870</v>
      </c>
      <c r="B630" s="2443"/>
      <c r="C630" s="2443"/>
      <c r="D630" s="2443"/>
      <c r="E630" s="2443"/>
      <c r="F630" s="2443"/>
      <c r="G630" s="2444"/>
    </row>
    <row r="631" spans="1:7">
      <c r="A631" s="1371">
        <v>1.5</v>
      </c>
      <c r="B631" s="1307">
        <v>1.5</v>
      </c>
      <c r="C631" s="1307">
        <v>4.32</v>
      </c>
      <c r="D631" s="1307">
        <f>B631*C631</f>
        <v>6.48</v>
      </c>
      <c r="E631" s="1307"/>
      <c r="F631" s="1307"/>
      <c r="G631" s="1373">
        <f>D631</f>
        <v>6.48</v>
      </c>
    </row>
    <row r="632" spans="1:7">
      <c r="A632" s="1328" t="s">
        <v>1938</v>
      </c>
      <c r="B632" s="1307">
        <v>2.5</v>
      </c>
      <c r="C632" s="1307">
        <v>2.2799999999999998</v>
      </c>
      <c r="D632" s="1307">
        <f>C632*B632</f>
        <v>5.6999999999999993</v>
      </c>
      <c r="E632" s="1307"/>
      <c r="F632" s="1307"/>
      <c r="G632" s="1373">
        <f>D632-F632</f>
        <v>5.6999999999999993</v>
      </c>
    </row>
    <row r="633" spans="1:7">
      <c r="A633" s="2520"/>
      <c r="B633" s="2503"/>
      <c r="C633" s="2503"/>
      <c r="D633" s="2503"/>
      <c r="E633" s="2503"/>
      <c r="F633" s="2503"/>
      <c r="G633" s="2504"/>
    </row>
    <row r="634" spans="1:7">
      <c r="A634" s="2442" t="s">
        <v>1888</v>
      </c>
      <c r="B634" s="2443"/>
      <c r="C634" s="2443"/>
      <c r="D634" s="2443"/>
      <c r="E634" s="2443"/>
      <c r="F634" s="2443"/>
      <c r="G634" s="2444"/>
    </row>
    <row r="635" spans="1:7" ht="24">
      <c r="A635" s="1328" t="s">
        <v>1941</v>
      </c>
      <c r="B635" s="1307">
        <f>3.65+4.8</f>
        <v>8.4499999999999993</v>
      </c>
      <c r="C635" s="1307">
        <v>4.32</v>
      </c>
      <c r="D635" s="1307">
        <f>B635*C635</f>
        <v>36.503999999999998</v>
      </c>
      <c r="E635" s="1372" t="s">
        <v>1942</v>
      </c>
      <c r="F635" s="1307">
        <f>(2.2*1.1)+(2.3+1.1)</f>
        <v>5.82</v>
      </c>
      <c r="G635" s="1373">
        <f>D635-F635</f>
        <v>30.683999999999997</v>
      </c>
    </row>
    <row r="636" spans="1:7">
      <c r="A636" s="1328" t="s">
        <v>1943</v>
      </c>
      <c r="B636" s="1376">
        <f>9.8+4.15</f>
        <v>13.950000000000001</v>
      </c>
      <c r="C636" s="1307">
        <v>2.82</v>
      </c>
      <c r="D636" s="1307">
        <f>B636*C636</f>
        <v>39.338999999999999</v>
      </c>
      <c r="E636" s="1372" t="s">
        <v>1944</v>
      </c>
      <c r="F636" s="1307">
        <f>1.1*0.6*6</f>
        <v>3.96</v>
      </c>
      <c r="G636" s="1373">
        <f>D636-F636</f>
        <v>35.378999999999998</v>
      </c>
    </row>
    <row r="637" spans="1:7">
      <c r="A637" s="1371">
        <v>9.8000000000000007</v>
      </c>
      <c r="B637" s="1427">
        <v>9.8000000000000007</v>
      </c>
      <c r="C637" s="1307">
        <v>2.2799999999999998</v>
      </c>
      <c r="D637" s="1307">
        <f>C637*B637</f>
        <v>22.344000000000001</v>
      </c>
      <c r="E637" s="1307"/>
      <c r="F637" s="1307"/>
      <c r="G637" s="1373">
        <f>D637-F637</f>
        <v>22.344000000000001</v>
      </c>
    </row>
    <row r="638" spans="1:7">
      <c r="A638" s="2520"/>
      <c r="B638" s="2503"/>
      <c r="C638" s="2503"/>
      <c r="D638" s="2503"/>
      <c r="E638" s="2503"/>
      <c r="F638" s="2503"/>
      <c r="G638" s="2504"/>
    </row>
    <row r="639" spans="1:7">
      <c r="A639" s="2466" t="s">
        <v>1924</v>
      </c>
      <c r="B639" s="2430"/>
      <c r="C639" s="2430"/>
      <c r="D639" s="2430"/>
      <c r="E639" s="2430"/>
      <c r="F639" s="2430"/>
      <c r="G639" s="2431"/>
    </row>
    <row r="640" spans="1:7">
      <c r="A640" s="2515"/>
      <c r="B640" s="2516"/>
      <c r="C640" s="2472" t="s">
        <v>1859</v>
      </c>
      <c r="D640" s="2473"/>
      <c r="E640" s="2473"/>
      <c r="F640" s="2474"/>
      <c r="G640" s="1373"/>
    </row>
    <row r="641" spans="1:7">
      <c r="A641" s="2509"/>
      <c r="B641" s="2517"/>
      <c r="C641" s="2458" t="s">
        <v>310</v>
      </c>
      <c r="D641" s="2459"/>
      <c r="E641" s="2459"/>
      <c r="F641" s="2460"/>
      <c r="G641" s="1432">
        <f>ROUNDUP(G627+G628,2)</f>
        <v>7.65</v>
      </c>
    </row>
    <row r="642" spans="1:7">
      <c r="A642" s="2509"/>
      <c r="B642" s="2517"/>
      <c r="C642" s="2472" t="s">
        <v>1870</v>
      </c>
      <c r="D642" s="2473"/>
      <c r="E642" s="2473"/>
      <c r="F642" s="2474"/>
      <c r="G642" s="1433"/>
    </row>
    <row r="643" spans="1:7">
      <c r="A643" s="2509"/>
      <c r="B643" s="2517"/>
      <c r="C643" s="2458" t="s">
        <v>310</v>
      </c>
      <c r="D643" s="2459"/>
      <c r="E643" s="2459"/>
      <c r="F643" s="2460"/>
      <c r="G643" s="1432">
        <f>ROUNDUP(G631+G632,2)</f>
        <v>12.18</v>
      </c>
    </row>
    <row r="644" spans="1:7">
      <c r="A644" s="2509"/>
      <c r="B644" s="2517"/>
      <c r="C644" s="2472" t="s">
        <v>1888</v>
      </c>
      <c r="D644" s="2473"/>
      <c r="E644" s="2473"/>
      <c r="F644" s="2474"/>
      <c r="G644" s="1433"/>
    </row>
    <row r="645" spans="1:7">
      <c r="A645" s="2518"/>
      <c r="B645" s="2519"/>
      <c r="C645" s="2458" t="s">
        <v>310</v>
      </c>
      <c r="D645" s="2459"/>
      <c r="E645" s="2459"/>
      <c r="F645" s="2460"/>
      <c r="G645" s="1432">
        <f>ROUNDUP(G635+G636+G637,2)</f>
        <v>88.410000000000011</v>
      </c>
    </row>
    <row r="646" spans="1:7" ht="15.75" thickBot="1">
      <c r="A646" s="2533" t="s">
        <v>325</v>
      </c>
      <c r="B646" s="2534"/>
      <c r="C646" s="2534"/>
      <c r="D646" s="2534"/>
      <c r="E646" s="2534"/>
      <c r="F646" s="2535"/>
      <c r="G646" s="1434">
        <f>ROUNDUP(G641+G643+G645,2)</f>
        <v>108.24</v>
      </c>
    </row>
    <row r="647" spans="1:7" ht="15.75" thickBot="1">
      <c r="A647" s="1448"/>
      <c r="B647" s="1449"/>
      <c r="C647" s="1449"/>
      <c r="D647" s="1449"/>
      <c r="E647" s="1449"/>
      <c r="F647" s="1449"/>
      <c r="G647" s="1450"/>
    </row>
    <row r="648" spans="1:7" ht="15.75" thickBot="1">
      <c r="A648" s="1299" t="s">
        <v>1958</v>
      </c>
      <c r="B648" s="2366" t="s">
        <v>1959</v>
      </c>
      <c r="C648" s="2367"/>
      <c r="D648" s="2367"/>
      <c r="E648" s="2367"/>
      <c r="F648" s="2367"/>
      <c r="G648" s="2368"/>
    </row>
    <row r="649" spans="1:7">
      <c r="A649" s="2435" t="s">
        <v>1960</v>
      </c>
      <c r="B649" s="2436"/>
      <c r="C649" s="2436"/>
      <c r="D649" s="2436"/>
      <c r="E649" s="2436"/>
      <c r="F649" s="2436"/>
      <c r="G649" s="2437"/>
    </row>
    <row r="650" spans="1:7">
      <c r="A650" s="2372" t="s">
        <v>1961</v>
      </c>
      <c r="B650" s="2373"/>
      <c r="C650" s="2373"/>
      <c r="D650" s="2373"/>
      <c r="E650" s="2373"/>
      <c r="F650" s="2373"/>
      <c r="G650" s="2374"/>
    </row>
    <row r="651" spans="1:7">
      <c r="A651" s="2466" t="s">
        <v>1811</v>
      </c>
      <c r="B651" s="2448"/>
      <c r="C651" s="1314" t="s">
        <v>321</v>
      </c>
      <c r="D651" s="1314" t="s">
        <v>308</v>
      </c>
      <c r="E651" s="2429" t="s">
        <v>309</v>
      </c>
      <c r="F651" s="2430"/>
      <c r="G651" s="2431"/>
    </row>
    <row r="652" spans="1:7">
      <c r="A652" s="2547" t="s">
        <v>1962</v>
      </c>
      <c r="B652" s="2393"/>
      <c r="C652" s="1406">
        <v>24.3</v>
      </c>
      <c r="D652" s="1407">
        <v>39.81</v>
      </c>
      <c r="E652" s="2548" t="s">
        <v>1963</v>
      </c>
      <c r="F652" s="2395"/>
      <c r="G652" s="2549"/>
    </row>
    <row r="653" spans="1:7">
      <c r="A653" s="2547" t="s">
        <v>1964</v>
      </c>
      <c r="B653" s="2393"/>
      <c r="C653" s="1406">
        <v>35.700000000000003</v>
      </c>
      <c r="D653" s="1407">
        <v>39.81</v>
      </c>
      <c r="E653" s="2397"/>
      <c r="F653" s="2398"/>
      <c r="G653" s="2399"/>
    </row>
    <row r="654" spans="1:7">
      <c r="A654" s="2547" t="s">
        <v>1965</v>
      </c>
      <c r="B654" s="2393"/>
      <c r="C654" s="1406">
        <v>13</v>
      </c>
      <c r="D654" s="1407">
        <v>39.81</v>
      </c>
      <c r="E654" s="2397"/>
      <c r="F654" s="2398"/>
      <c r="G654" s="2399"/>
    </row>
    <row r="655" spans="1:7">
      <c r="A655" s="2547" t="s">
        <v>1966</v>
      </c>
      <c r="B655" s="2393"/>
      <c r="C655" s="1406">
        <v>16</v>
      </c>
      <c r="D655" s="1407">
        <v>39.81</v>
      </c>
      <c r="E655" s="2397"/>
      <c r="F655" s="2398"/>
      <c r="G655" s="2399"/>
    </row>
    <row r="656" spans="1:7">
      <c r="A656" s="2547" t="s">
        <v>1967</v>
      </c>
      <c r="B656" s="2393"/>
      <c r="C656" s="1406">
        <v>20</v>
      </c>
      <c r="D656" s="1407">
        <v>39.81</v>
      </c>
      <c r="E656" s="2397"/>
      <c r="F656" s="2398"/>
      <c r="G656" s="2399"/>
    </row>
    <row r="657" spans="1:7">
      <c r="A657" s="2547" t="s">
        <v>1968</v>
      </c>
      <c r="B657" s="2393"/>
      <c r="C657" s="1406">
        <v>18</v>
      </c>
      <c r="D657" s="1407">
        <v>39.81</v>
      </c>
      <c r="E657" s="2397"/>
      <c r="F657" s="2398"/>
      <c r="G657" s="2399"/>
    </row>
    <row r="658" spans="1:7">
      <c r="A658" s="2547" t="s">
        <v>1969</v>
      </c>
      <c r="B658" s="2393"/>
      <c r="C658" s="1406">
        <v>11.7</v>
      </c>
      <c r="D658" s="1407">
        <v>39.81</v>
      </c>
      <c r="E658" s="2397"/>
      <c r="F658" s="2398"/>
      <c r="G658" s="2399"/>
    </row>
    <row r="659" spans="1:7">
      <c r="A659" s="2547" t="s">
        <v>1970</v>
      </c>
      <c r="B659" s="2393"/>
      <c r="C659" s="1406">
        <v>7.4</v>
      </c>
      <c r="D659" s="1407">
        <v>39.81</v>
      </c>
      <c r="E659" s="2397"/>
      <c r="F659" s="2398"/>
      <c r="G659" s="2399"/>
    </row>
    <row r="660" spans="1:7">
      <c r="A660" s="2547" t="s">
        <v>1971</v>
      </c>
      <c r="B660" s="2393"/>
      <c r="C660" s="1406">
        <v>13.39</v>
      </c>
      <c r="D660" s="1407">
        <v>39.81</v>
      </c>
      <c r="E660" s="2397"/>
      <c r="F660" s="2398"/>
      <c r="G660" s="2399"/>
    </row>
    <row r="661" spans="1:7">
      <c r="A661" s="2547" t="s">
        <v>1972</v>
      </c>
      <c r="B661" s="2393"/>
      <c r="C661" s="1406">
        <v>3.05</v>
      </c>
      <c r="D661" s="1407">
        <v>39.81</v>
      </c>
      <c r="E661" s="2397"/>
      <c r="F661" s="2398"/>
      <c r="G661" s="2399"/>
    </row>
    <row r="662" spans="1:7">
      <c r="A662" s="2547" t="s">
        <v>1973</v>
      </c>
      <c r="B662" s="2393"/>
      <c r="C662" s="1406">
        <v>3.05</v>
      </c>
      <c r="D662" s="1407">
        <v>39.81</v>
      </c>
      <c r="E662" s="2397"/>
      <c r="F662" s="2398"/>
      <c r="G662" s="2399"/>
    </row>
    <row r="663" spans="1:7">
      <c r="A663" s="2547" t="s">
        <v>1974</v>
      </c>
      <c r="B663" s="2393"/>
      <c r="C663" s="1406">
        <v>13.39</v>
      </c>
      <c r="D663" s="1407">
        <v>39.81</v>
      </c>
      <c r="E663" s="2397"/>
      <c r="F663" s="2398"/>
      <c r="G663" s="2399"/>
    </row>
    <row r="664" spans="1:7" ht="15.75" thickBot="1">
      <c r="A664" s="1408"/>
      <c r="B664" s="1409"/>
      <c r="C664" s="1410" t="s">
        <v>310</v>
      </c>
      <c r="D664" s="1411">
        <f>SUM(D652:D663)</f>
        <v>477.72</v>
      </c>
      <c r="E664" s="2550"/>
      <c r="F664" s="2551"/>
      <c r="G664" s="2552"/>
    </row>
    <row r="665" spans="1:7" ht="15.75" thickBot="1">
      <c r="A665" s="1454"/>
      <c r="B665" s="1455"/>
      <c r="C665" s="1455"/>
      <c r="D665" s="1455"/>
      <c r="E665" s="1389"/>
      <c r="F665" s="1389"/>
      <c r="G665" s="1456"/>
    </row>
    <row r="666" spans="1:7" ht="15.75" thickBot="1">
      <c r="A666" s="1299" t="s">
        <v>1975</v>
      </c>
      <c r="B666" s="2366" t="s">
        <v>1976</v>
      </c>
      <c r="C666" s="2367"/>
      <c r="D666" s="2367"/>
      <c r="E666" s="2367"/>
      <c r="F666" s="2367"/>
      <c r="G666" s="2368"/>
    </row>
    <row r="667" spans="1:7">
      <c r="A667" s="2435" t="s">
        <v>1960</v>
      </c>
      <c r="B667" s="2436"/>
      <c r="C667" s="2436"/>
      <c r="D667" s="2436"/>
      <c r="E667" s="2436"/>
      <c r="F667" s="2436"/>
      <c r="G667" s="2437"/>
    </row>
    <row r="668" spans="1:7">
      <c r="A668" s="2372" t="s">
        <v>1961</v>
      </c>
      <c r="B668" s="2373"/>
      <c r="C668" s="2373"/>
      <c r="D668" s="2373"/>
      <c r="E668" s="2373"/>
      <c r="F668" s="2373"/>
      <c r="G668" s="2374"/>
    </row>
    <row r="669" spans="1:7">
      <c r="A669" s="2466" t="s">
        <v>1811</v>
      </c>
      <c r="B669" s="2448"/>
      <c r="C669" s="1314" t="s">
        <v>321</v>
      </c>
      <c r="D669" s="1314" t="s">
        <v>308</v>
      </c>
      <c r="E669" s="2429" t="s">
        <v>309</v>
      </c>
      <c r="F669" s="2430"/>
      <c r="G669" s="2431"/>
    </row>
    <row r="670" spans="1:7">
      <c r="A670" s="2547" t="s">
        <v>1962</v>
      </c>
      <c r="B670" s="2393"/>
      <c r="C670" s="1406">
        <v>24.3</v>
      </c>
      <c r="D670" s="1407">
        <v>39.81</v>
      </c>
      <c r="E670" s="2548" t="s">
        <v>1963</v>
      </c>
      <c r="F670" s="2395"/>
      <c r="G670" s="2549"/>
    </row>
    <row r="671" spans="1:7">
      <c r="A671" s="2547" t="s">
        <v>1964</v>
      </c>
      <c r="B671" s="2393"/>
      <c r="C671" s="1406">
        <v>35.700000000000003</v>
      </c>
      <c r="D671" s="1407">
        <v>39.81</v>
      </c>
      <c r="E671" s="2397"/>
      <c r="F671" s="2398"/>
      <c r="G671" s="2399"/>
    </row>
    <row r="672" spans="1:7">
      <c r="A672" s="2547" t="s">
        <v>1965</v>
      </c>
      <c r="B672" s="2393"/>
      <c r="C672" s="1406">
        <v>13</v>
      </c>
      <c r="D672" s="1407">
        <v>39.81</v>
      </c>
      <c r="E672" s="2397"/>
      <c r="F672" s="2398"/>
      <c r="G672" s="2399"/>
    </row>
    <row r="673" spans="1:7">
      <c r="A673" s="2547" t="s">
        <v>1966</v>
      </c>
      <c r="B673" s="2393"/>
      <c r="C673" s="1406">
        <v>16</v>
      </c>
      <c r="D673" s="1407">
        <v>39.81</v>
      </c>
      <c r="E673" s="2397"/>
      <c r="F673" s="2398"/>
      <c r="G673" s="2399"/>
    </row>
    <row r="674" spans="1:7">
      <c r="A674" s="2547" t="s">
        <v>1967</v>
      </c>
      <c r="B674" s="2393"/>
      <c r="C674" s="1406">
        <v>20</v>
      </c>
      <c r="D674" s="1407">
        <v>39.81</v>
      </c>
      <c r="E674" s="2397"/>
      <c r="F674" s="2398"/>
      <c r="G674" s="2399"/>
    </row>
    <row r="675" spans="1:7">
      <c r="A675" s="2547" t="s">
        <v>1968</v>
      </c>
      <c r="B675" s="2393"/>
      <c r="C675" s="1406">
        <v>18</v>
      </c>
      <c r="D675" s="1407">
        <v>39.81</v>
      </c>
      <c r="E675" s="2397"/>
      <c r="F675" s="2398"/>
      <c r="G675" s="2399"/>
    </row>
    <row r="676" spans="1:7">
      <c r="A676" s="2547" t="s">
        <v>1969</v>
      </c>
      <c r="B676" s="2393"/>
      <c r="C676" s="1406">
        <v>11.7</v>
      </c>
      <c r="D676" s="1407">
        <v>39.81</v>
      </c>
      <c r="E676" s="2397"/>
      <c r="F676" s="2398"/>
      <c r="G676" s="2399"/>
    </row>
    <row r="677" spans="1:7">
      <c r="A677" s="2547" t="s">
        <v>1970</v>
      </c>
      <c r="B677" s="2393"/>
      <c r="C677" s="1406">
        <v>7.4</v>
      </c>
      <c r="D677" s="1407">
        <v>39.81</v>
      </c>
      <c r="E677" s="2397"/>
      <c r="F677" s="2398"/>
      <c r="G677" s="2399"/>
    </row>
    <row r="678" spans="1:7">
      <c r="A678" s="2547" t="s">
        <v>1971</v>
      </c>
      <c r="B678" s="2393"/>
      <c r="C678" s="1406">
        <v>13.39</v>
      </c>
      <c r="D678" s="1407">
        <v>39.81</v>
      </c>
      <c r="E678" s="2397"/>
      <c r="F678" s="2398"/>
      <c r="G678" s="2399"/>
    </row>
    <row r="679" spans="1:7">
      <c r="A679" s="2547" t="s">
        <v>1972</v>
      </c>
      <c r="B679" s="2393"/>
      <c r="C679" s="1406">
        <v>3.05</v>
      </c>
      <c r="D679" s="1407">
        <v>39.81</v>
      </c>
      <c r="E679" s="2397"/>
      <c r="F679" s="2398"/>
      <c r="G679" s="2399"/>
    </row>
    <row r="680" spans="1:7">
      <c r="A680" s="2547" t="s">
        <v>1973</v>
      </c>
      <c r="B680" s="2393"/>
      <c r="C680" s="1406">
        <v>3.05</v>
      </c>
      <c r="D680" s="1407">
        <v>39.81</v>
      </c>
      <c r="E680" s="2397"/>
      <c r="F680" s="2398"/>
      <c r="G680" s="2399"/>
    </row>
    <row r="681" spans="1:7">
      <c r="A681" s="2547" t="s">
        <v>1974</v>
      </c>
      <c r="B681" s="2393"/>
      <c r="C681" s="1406">
        <v>13.39</v>
      </c>
      <c r="D681" s="1407">
        <v>39.81</v>
      </c>
      <c r="E681" s="2397"/>
      <c r="F681" s="2398"/>
      <c r="G681" s="2399"/>
    </row>
    <row r="682" spans="1:7" ht="15.75" thickBot="1">
      <c r="A682" s="1408"/>
      <c r="B682" s="1409"/>
      <c r="C682" s="1410" t="s">
        <v>310</v>
      </c>
      <c r="D682" s="1411">
        <f>SUM(D670:D681)</f>
        <v>477.72</v>
      </c>
      <c r="E682" s="2550"/>
      <c r="F682" s="2551"/>
      <c r="G682" s="2552"/>
    </row>
    <row r="683" spans="1:7" ht="15.75" thickBot="1">
      <c r="A683" s="1457"/>
      <c r="B683" s="1458"/>
      <c r="C683" s="1458"/>
      <c r="D683" s="1458"/>
      <c r="E683" s="1458"/>
      <c r="F683" s="1458"/>
      <c r="G683" s="1459"/>
    </row>
    <row r="684" spans="1:7" ht="15.75" thickBot="1">
      <c r="A684" s="1299">
        <v>10</v>
      </c>
      <c r="B684" s="2366" t="s">
        <v>1977</v>
      </c>
      <c r="C684" s="2367"/>
      <c r="D684" s="2367"/>
      <c r="E684" s="2367"/>
      <c r="F684" s="2367"/>
      <c r="G684" s="2368"/>
    </row>
    <row r="685" spans="1:7" ht="15.75" thickBot="1">
      <c r="A685" s="1299" t="s">
        <v>78</v>
      </c>
      <c r="B685" s="2366" t="s">
        <v>1978</v>
      </c>
      <c r="C685" s="2367"/>
      <c r="D685" s="2367"/>
      <c r="E685" s="2367"/>
      <c r="F685" s="2367"/>
      <c r="G685" s="2368"/>
    </row>
    <row r="686" spans="1:7">
      <c r="A686" s="2369" t="s">
        <v>1979</v>
      </c>
      <c r="B686" s="2370"/>
      <c r="C686" s="2370"/>
      <c r="D686" s="2370"/>
      <c r="E686" s="2370"/>
      <c r="F686" s="2370"/>
      <c r="G686" s="2371"/>
    </row>
    <row r="687" spans="1:7">
      <c r="A687" s="2372" t="s">
        <v>1961</v>
      </c>
      <c r="B687" s="2373"/>
      <c r="C687" s="2373"/>
      <c r="D687" s="2373"/>
      <c r="E687" s="2373"/>
      <c r="F687" s="2373"/>
      <c r="G687" s="2374"/>
    </row>
    <row r="688" spans="1:7">
      <c r="A688" s="2466" t="s">
        <v>1811</v>
      </c>
      <c r="B688" s="2448"/>
      <c r="C688" s="1314" t="s">
        <v>308</v>
      </c>
      <c r="D688" s="1314" t="s">
        <v>1980</v>
      </c>
      <c r="E688" s="2429" t="s">
        <v>309</v>
      </c>
      <c r="F688" s="2430"/>
      <c r="G688" s="2431"/>
    </row>
    <row r="689" spans="1:7">
      <c r="A689" s="2547" t="s">
        <v>1981</v>
      </c>
      <c r="B689" s="2393"/>
      <c r="C689" s="1372" t="s">
        <v>1982</v>
      </c>
      <c r="D689" s="1307">
        <f>3.18+2.78+2.78</f>
        <v>8.74</v>
      </c>
      <c r="E689" s="2392" t="s">
        <v>1983</v>
      </c>
      <c r="F689" s="2553"/>
      <c r="G689" s="2554"/>
    </row>
    <row r="690" spans="1:7">
      <c r="A690" s="2547" t="s">
        <v>1984</v>
      </c>
      <c r="B690" s="2393"/>
      <c r="C690" s="1372" t="s">
        <v>1985</v>
      </c>
      <c r="D690" s="1307">
        <f>7.7+7.68+7.68</f>
        <v>23.06</v>
      </c>
      <c r="E690" s="2392" t="s">
        <v>1986</v>
      </c>
      <c r="F690" s="2553"/>
      <c r="G690" s="2554"/>
    </row>
    <row r="691" spans="1:7" ht="36">
      <c r="A691" s="2547" t="s">
        <v>1987</v>
      </c>
      <c r="B691" s="2393"/>
      <c r="C691" s="1372" t="s">
        <v>1988</v>
      </c>
      <c r="D691" s="1307">
        <f>34.87+72.37+10.55+16+19.64+20+30.21+10.61</f>
        <v>214.25</v>
      </c>
      <c r="E691" s="2392" t="s">
        <v>1989</v>
      </c>
      <c r="F691" s="2553"/>
      <c r="G691" s="2554"/>
    </row>
    <row r="692" spans="1:7" ht="24">
      <c r="A692" s="2547" t="s">
        <v>1990</v>
      </c>
      <c r="B692" s="2393"/>
      <c r="C692" s="1430" t="s">
        <v>1991</v>
      </c>
      <c r="D692" s="1406">
        <f>66.73+13.7+31.95+4.46+68.14+108.42</f>
        <v>293.40000000000003</v>
      </c>
      <c r="E692" s="2392" t="s">
        <v>1992</v>
      </c>
      <c r="F692" s="2553"/>
      <c r="G692" s="2554"/>
    </row>
    <row r="693" spans="1:7">
      <c r="A693" s="2520"/>
      <c r="B693" s="2557"/>
      <c r="C693" s="1406"/>
      <c r="D693" s="1406"/>
      <c r="E693" s="2502"/>
      <c r="F693" s="2503"/>
      <c r="G693" s="2504"/>
    </row>
    <row r="694" spans="1:7" ht="15.75" thickBot="1">
      <c r="A694" s="2507" t="s">
        <v>1993</v>
      </c>
      <c r="B694" s="2464"/>
      <c r="C694" s="2465"/>
      <c r="D694" s="1335">
        <f>SUM(D689:D693)</f>
        <v>539.45000000000005</v>
      </c>
      <c r="E694" s="2555"/>
      <c r="F694" s="2508"/>
      <c r="G694" s="2556"/>
    </row>
    <row r="695" spans="1:7" ht="15.75" thickBot="1">
      <c r="A695" s="1412"/>
      <c r="B695" s="1401"/>
      <c r="C695" s="1401"/>
      <c r="D695" s="1360"/>
      <c r="E695" s="1400"/>
      <c r="F695" s="1400"/>
      <c r="G695" s="1460"/>
    </row>
    <row r="696" spans="1:7" ht="15.75" thickBot="1">
      <c r="A696" s="1299" t="s">
        <v>79</v>
      </c>
      <c r="B696" s="2366" t="s">
        <v>1994</v>
      </c>
      <c r="C696" s="2367"/>
      <c r="D696" s="2367"/>
      <c r="E696" s="2367"/>
      <c r="F696" s="2367"/>
      <c r="G696" s="2368"/>
    </row>
    <row r="697" spans="1:7">
      <c r="A697" s="2369" t="s">
        <v>1979</v>
      </c>
      <c r="B697" s="2370"/>
      <c r="C697" s="2370"/>
      <c r="D697" s="2370"/>
      <c r="E697" s="2370"/>
      <c r="F697" s="2370"/>
      <c r="G697" s="2371"/>
    </row>
    <row r="698" spans="1:7">
      <c r="A698" s="2372" t="s">
        <v>1961</v>
      </c>
      <c r="B698" s="2373"/>
      <c r="C698" s="2373"/>
      <c r="D698" s="2373"/>
      <c r="E698" s="2373"/>
      <c r="F698" s="2373"/>
      <c r="G698" s="2374"/>
    </row>
    <row r="699" spans="1:7">
      <c r="A699" s="2466" t="s">
        <v>1811</v>
      </c>
      <c r="B699" s="2448"/>
      <c r="C699" s="1314" t="s">
        <v>308</v>
      </c>
      <c r="D699" s="1314" t="s">
        <v>1980</v>
      </c>
      <c r="E699" s="2429" t="s">
        <v>309</v>
      </c>
      <c r="F699" s="2430"/>
      <c r="G699" s="2431"/>
    </row>
    <row r="700" spans="1:7">
      <c r="A700" s="2547" t="s">
        <v>1981</v>
      </c>
      <c r="B700" s="2393"/>
      <c r="C700" s="1372" t="s">
        <v>1982</v>
      </c>
      <c r="D700" s="1307">
        <f>3.18+2.78+2.78</f>
        <v>8.74</v>
      </c>
      <c r="E700" s="2392" t="s">
        <v>1983</v>
      </c>
      <c r="F700" s="2553"/>
      <c r="G700" s="2554"/>
    </row>
    <row r="701" spans="1:7">
      <c r="A701" s="2547" t="s">
        <v>1984</v>
      </c>
      <c r="B701" s="2393"/>
      <c r="C701" s="1372" t="s">
        <v>1985</v>
      </c>
      <c r="D701" s="1307">
        <f>7.7+7.68+7.68</f>
        <v>23.06</v>
      </c>
      <c r="E701" s="2392" t="s">
        <v>1986</v>
      </c>
      <c r="F701" s="2553"/>
      <c r="G701" s="2554"/>
    </row>
    <row r="702" spans="1:7" ht="36">
      <c r="A702" s="2547" t="s">
        <v>1987</v>
      </c>
      <c r="B702" s="2393"/>
      <c r="C702" s="1372" t="s">
        <v>1988</v>
      </c>
      <c r="D702" s="1307">
        <f>34.87+72.37+10.55+16+19.64+20+30.21+10.61</f>
        <v>214.25</v>
      </c>
      <c r="E702" s="2392" t="s">
        <v>1989</v>
      </c>
      <c r="F702" s="2553"/>
      <c r="G702" s="2554"/>
    </row>
    <row r="703" spans="1:7" ht="24">
      <c r="A703" s="2547" t="s">
        <v>1995</v>
      </c>
      <c r="B703" s="2393"/>
      <c r="C703" s="1430" t="s">
        <v>1996</v>
      </c>
      <c r="D703" s="1406">
        <f>66.73+13.7+31.95+4.46</f>
        <v>116.84</v>
      </c>
      <c r="E703" s="2392" t="s">
        <v>1992</v>
      </c>
      <c r="F703" s="2553"/>
      <c r="G703" s="2554"/>
    </row>
    <row r="704" spans="1:7" ht="15.75" thickBot="1">
      <c r="A704" s="2507" t="s">
        <v>1993</v>
      </c>
      <c r="B704" s="2464"/>
      <c r="C704" s="2465"/>
      <c r="D704" s="1335">
        <f>SUM(D700:D703)</f>
        <v>362.89</v>
      </c>
      <c r="E704" s="2555"/>
      <c r="F704" s="2508"/>
      <c r="G704" s="2556"/>
    </row>
    <row r="705" spans="1:7" ht="15.75" thickBot="1">
      <c r="A705" s="2536"/>
      <c r="B705" s="2537"/>
      <c r="C705" s="2537"/>
      <c r="D705" s="2537"/>
      <c r="E705" s="2537"/>
      <c r="F705" s="2537"/>
      <c r="G705" s="2538"/>
    </row>
    <row r="706" spans="1:7" ht="15.75" thickBot="1">
      <c r="A706" s="1299" t="s">
        <v>1997</v>
      </c>
      <c r="B706" s="2366" t="s">
        <v>1998</v>
      </c>
      <c r="C706" s="2367"/>
      <c r="D706" s="2367"/>
      <c r="E706" s="2367"/>
      <c r="F706" s="2367"/>
      <c r="G706" s="2368"/>
    </row>
    <row r="707" spans="1:7">
      <c r="A707" s="2369" t="s">
        <v>1979</v>
      </c>
      <c r="B707" s="2370"/>
      <c r="C707" s="2370"/>
      <c r="D707" s="2370"/>
      <c r="E707" s="2370"/>
      <c r="F707" s="2370"/>
      <c r="G707" s="2371"/>
    </row>
    <row r="708" spans="1:7">
      <c r="A708" s="2372" t="s">
        <v>1961</v>
      </c>
      <c r="B708" s="2373"/>
      <c r="C708" s="2373"/>
      <c r="D708" s="2373"/>
      <c r="E708" s="2373"/>
      <c r="F708" s="2373"/>
      <c r="G708" s="2374"/>
    </row>
    <row r="709" spans="1:7">
      <c r="A709" s="2466" t="s">
        <v>1811</v>
      </c>
      <c r="B709" s="2448"/>
      <c r="C709" s="1314" t="s">
        <v>308</v>
      </c>
      <c r="D709" s="1314" t="s">
        <v>1980</v>
      </c>
      <c r="E709" s="2429" t="s">
        <v>309</v>
      </c>
      <c r="F709" s="2430"/>
      <c r="G709" s="2431"/>
    </row>
    <row r="710" spans="1:7">
      <c r="A710" s="2547" t="s">
        <v>1999</v>
      </c>
      <c r="B710" s="2393"/>
      <c r="C710" s="1372" t="s">
        <v>2000</v>
      </c>
      <c r="D710" s="1307">
        <f>68.14+108.42</f>
        <v>176.56</v>
      </c>
      <c r="E710" s="2502"/>
      <c r="F710" s="2503"/>
      <c r="G710" s="2504"/>
    </row>
    <row r="711" spans="1:7" ht="15.75" thickBot="1">
      <c r="A711" s="2507" t="s">
        <v>1993</v>
      </c>
      <c r="B711" s="2464"/>
      <c r="C711" s="2465"/>
      <c r="D711" s="1335">
        <f>SUM(D707:D710)</f>
        <v>176.56</v>
      </c>
      <c r="E711" s="2555"/>
      <c r="F711" s="2508"/>
      <c r="G711" s="2556"/>
    </row>
    <row r="712" spans="1:7" ht="15.75" thickBot="1">
      <c r="A712" s="1448"/>
      <c r="B712" s="1449"/>
      <c r="C712" s="1449"/>
      <c r="D712" s="1449"/>
      <c r="E712" s="1449"/>
      <c r="F712" s="1449"/>
      <c r="G712" s="1450"/>
    </row>
    <row r="713" spans="1:7" ht="15.75" thickBot="1">
      <c r="A713" s="1299" t="s">
        <v>2001</v>
      </c>
      <c r="B713" s="2366" t="s">
        <v>2002</v>
      </c>
      <c r="C713" s="2367"/>
      <c r="D713" s="2367"/>
      <c r="E713" s="2367"/>
      <c r="F713" s="2367"/>
      <c r="G713" s="2368"/>
    </row>
    <row r="714" spans="1:7">
      <c r="A714" s="2369" t="s">
        <v>1979</v>
      </c>
      <c r="B714" s="2370"/>
      <c r="C714" s="2370"/>
      <c r="D714" s="2370"/>
      <c r="E714" s="2370"/>
      <c r="F714" s="2370"/>
      <c r="G714" s="2371"/>
    </row>
    <row r="715" spans="1:7">
      <c r="A715" s="2372" t="s">
        <v>1961</v>
      </c>
      <c r="B715" s="2373"/>
      <c r="C715" s="2373"/>
      <c r="D715" s="2373"/>
      <c r="E715" s="2373"/>
      <c r="F715" s="2373"/>
      <c r="G715" s="2374"/>
    </row>
    <row r="716" spans="1:7">
      <c r="A716" s="2466" t="s">
        <v>1811</v>
      </c>
      <c r="B716" s="2448"/>
      <c r="C716" s="1314" t="s">
        <v>308</v>
      </c>
      <c r="D716" s="1314" t="s">
        <v>1980</v>
      </c>
      <c r="E716" s="2429" t="s">
        <v>309</v>
      </c>
      <c r="F716" s="2430"/>
      <c r="G716" s="2431"/>
    </row>
    <row r="717" spans="1:7">
      <c r="A717" s="2547" t="s">
        <v>1981</v>
      </c>
      <c r="B717" s="2393"/>
      <c r="C717" s="1372" t="s">
        <v>1982</v>
      </c>
      <c r="D717" s="1307">
        <f>3.18+2.78+2.78</f>
        <v>8.74</v>
      </c>
      <c r="E717" s="2392" t="s">
        <v>1983</v>
      </c>
      <c r="F717" s="2553"/>
      <c r="G717" s="2554"/>
    </row>
    <row r="718" spans="1:7">
      <c r="A718" s="2547" t="s">
        <v>1984</v>
      </c>
      <c r="B718" s="2393"/>
      <c r="C718" s="1372" t="s">
        <v>1985</v>
      </c>
      <c r="D718" s="1307">
        <f>7.7+7.68+7.68</f>
        <v>23.06</v>
      </c>
      <c r="E718" s="2392" t="s">
        <v>1986</v>
      </c>
      <c r="F718" s="2553"/>
      <c r="G718" s="2554"/>
    </row>
    <row r="719" spans="1:7" ht="36">
      <c r="A719" s="2547" t="s">
        <v>1987</v>
      </c>
      <c r="B719" s="2393"/>
      <c r="C719" s="1372" t="s">
        <v>1988</v>
      </c>
      <c r="D719" s="1307">
        <f>34.87+72.37+10.55+16+19.64+20+30.21+10.61</f>
        <v>214.25</v>
      </c>
      <c r="E719" s="2392" t="s">
        <v>1989</v>
      </c>
      <c r="F719" s="2553"/>
      <c r="G719" s="2554"/>
    </row>
    <row r="720" spans="1:7" ht="15.75" thickBot="1">
      <c r="A720" s="2507" t="s">
        <v>1993</v>
      </c>
      <c r="B720" s="2464"/>
      <c r="C720" s="2465"/>
      <c r="D720" s="1335">
        <f>SUM(D717:D719)</f>
        <v>246.05</v>
      </c>
      <c r="E720" s="2555"/>
      <c r="F720" s="2508"/>
      <c r="G720" s="2556"/>
    </row>
    <row r="721" spans="1:7" ht="15.75" thickBot="1">
      <c r="A721" s="1348"/>
      <c r="B721" s="1382"/>
      <c r="C721" s="1382"/>
      <c r="D721" s="1382"/>
      <c r="E721" s="1383"/>
      <c r="F721" s="1383"/>
      <c r="G721" s="1461"/>
    </row>
    <row r="722" spans="1:7" ht="15.75" thickBot="1">
      <c r="A722" s="1299" t="s">
        <v>2003</v>
      </c>
      <c r="B722" s="2366" t="s">
        <v>2004</v>
      </c>
      <c r="C722" s="2367"/>
      <c r="D722" s="2367"/>
      <c r="E722" s="2367"/>
      <c r="F722" s="2367"/>
      <c r="G722" s="2368"/>
    </row>
    <row r="723" spans="1:7">
      <c r="A723" s="2369" t="s">
        <v>1979</v>
      </c>
      <c r="B723" s="2370"/>
      <c r="C723" s="2370"/>
      <c r="D723" s="2370"/>
      <c r="E723" s="2370"/>
      <c r="F723" s="2370"/>
      <c r="G723" s="2371"/>
    </row>
    <row r="724" spans="1:7">
      <c r="A724" s="2372" t="s">
        <v>1961</v>
      </c>
      <c r="B724" s="2373"/>
      <c r="C724" s="2373"/>
      <c r="D724" s="2373"/>
      <c r="E724" s="2373"/>
      <c r="F724" s="2373"/>
      <c r="G724" s="2374"/>
    </row>
    <row r="725" spans="1:7">
      <c r="A725" s="2466" t="s">
        <v>1811</v>
      </c>
      <c r="B725" s="2448"/>
      <c r="C725" s="1314" t="s">
        <v>308</v>
      </c>
      <c r="D725" s="1314" t="s">
        <v>1980</v>
      </c>
      <c r="E725" s="2429" t="s">
        <v>309</v>
      </c>
      <c r="F725" s="2430"/>
      <c r="G725" s="2431"/>
    </row>
    <row r="726" spans="1:7">
      <c r="A726" s="2547" t="s">
        <v>1981</v>
      </c>
      <c r="B726" s="2393"/>
      <c r="C726" s="1372" t="s">
        <v>1982</v>
      </c>
      <c r="D726" s="1307">
        <f>3.18+2.78+2.78</f>
        <v>8.74</v>
      </c>
      <c r="E726" s="2392" t="s">
        <v>1983</v>
      </c>
      <c r="F726" s="2553"/>
      <c r="G726" s="2554"/>
    </row>
    <row r="727" spans="1:7">
      <c r="A727" s="2547" t="s">
        <v>1984</v>
      </c>
      <c r="B727" s="2393"/>
      <c r="C727" s="1372" t="s">
        <v>1985</v>
      </c>
      <c r="D727" s="1307">
        <f>7.7+7.68+7.68</f>
        <v>23.06</v>
      </c>
      <c r="E727" s="2392" t="s">
        <v>1986</v>
      </c>
      <c r="F727" s="2553"/>
      <c r="G727" s="2554"/>
    </row>
    <row r="728" spans="1:7" ht="36">
      <c r="A728" s="2547" t="s">
        <v>1987</v>
      </c>
      <c r="B728" s="2393"/>
      <c r="C728" s="1372" t="s">
        <v>1988</v>
      </c>
      <c r="D728" s="1307">
        <f>34.87+72.37+10.55+16+19.64+20+30.21+10.61</f>
        <v>214.25</v>
      </c>
      <c r="E728" s="2392" t="s">
        <v>1989</v>
      </c>
      <c r="F728" s="2553"/>
      <c r="G728" s="2554"/>
    </row>
    <row r="729" spans="1:7" ht="15.75" thickBot="1">
      <c r="A729" s="2507" t="s">
        <v>1993</v>
      </c>
      <c r="B729" s="2464"/>
      <c r="C729" s="2465"/>
      <c r="D729" s="1335">
        <f>SUM(D726:D728)</f>
        <v>246.05</v>
      </c>
      <c r="E729" s="2555"/>
      <c r="F729" s="2508"/>
      <c r="G729" s="2556"/>
    </row>
    <row r="730" spans="1:7" ht="15.75" thickBot="1">
      <c r="A730" s="1462"/>
      <c r="B730" s="1383"/>
      <c r="C730" s="1383"/>
      <c r="D730" s="1364"/>
      <c r="E730" s="1416"/>
      <c r="F730" s="1416"/>
      <c r="G730" s="1463"/>
    </row>
    <row r="731" spans="1:7" ht="15.75" thickBot="1">
      <c r="A731" s="1299" t="s">
        <v>2005</v>
      </c>
      <c r="B731" s="2366" t="s">
        <v>2006</v>
      </c>
      <c r="C731" s="2367"/>
      <c r="D731" s="2367"/>
      <c r="E731" s="2367"/>
      <c r="F731" s="2367"/>
      <c r="G731" s="2368"/>
    </row>
    <row r="732" spans="1:7">
      <c r="A732" s="2369" t="s">
        <v>2007</v>
      </c>
      <c r="B732" s="2370"/>
      <c r="C732" s="2370"/>
      <c r="D732" s="2370"/>
      <c r="E732" s="2370"/>
      <c r="F732" s="2370"/>
      <c r="G732" s="2371"/>
    </row>
    <row r="733" spans="1:7">
      <c r="A733" s="2372" t="s">
        <v>2008</v>
      </c>
      <c r="B733" s="2373"/>
      <c r="C733" s="2373"/>
      <c r="D733" s="2373"/>
      <c r="E733" s="2373"/>
      <c r="F733" s="2373"/>
      <c r="G733" s="2374"/>
    </row>
    <row r="734" spans="1:7" ht="24">
      <c r="A734" s="2466" t="s">
        <v>1811</v>
      </c>
      <c r="B734" s="2448"/>
      <c r="C734" s="1314" t="s">
        <v>2009</v>
      </c>
      <c r="D734" s="1314" t="s">
        <v>2010</v>
      </c>
      <c r="E734" s="1314" t="s">
        <v>327</v>
      </c>
      <c r="F734" s="2429" t="s">
        <v>309</v>
      </c>
      <c r="G734" s="2431"/>
    </row>
    <row r="735" spans="1:7">
      <c r="A735" s="2491" t="s">
        <v>2011</v>
      </c>
      <c r="B735" s="2492"/>
      <c r="C735" s="2564" t="s">
        <v>2012</v>
      </c>
      <c r="D735" s="2564" t="s">
        <v>2013</v>
      </c>
      <c r="E735" s="2567">
        <f>(15.7+19.2+15.2+12.2+33.6+22.7+13.3)*0.15</f>
        <v>19.785</v>
      </c>
      <c r="F735" s="2493"/>
      <c r="G735" s="2495"/>
    </row>
    <row r="736" spans="1:7">
      <c r="A736" s="2560"/>
      <c r="B736" s="2561"/>
      <c r="C736" s="2565"/>
      <c r="D736" s="2565"/>
      <c r="E736" s="2568"/>
      <c r="F736" s="2570"/>
      <c r="G736" s="2571"/>
    </row>
    <row r="737" spans="1:7">
      <c r="A737" s="2562"/>
      <c r="B737" s="2563"/>
      <c r="C737" s="2566"/>
      <c r="D737" s="2566"/>
      <c r="E737" s="2569"/>
      <c r="F737" s="2572"/>
      <c r="G737" s="2573"/>
    </row>
    <row r="738" spans="1:7" ht="15.75" thickBot="1">
      <c r="A738" s="2507" t="s">
        <v>1993</v>
      </c>
      <c r="B738" s="2464"/>
      <c r="C738" s="2465"/>
      <c r="D738" s="1335">
        <f>E735</f>
        <v>19.785</v>
      </c>
      <c r="E738" s="1425"/>
      <c r="F738" s="1464"/>
      <c r="G738" s="1426"/>
    </row>
    <row r="739" spans="1:7" ht="15.75" thickBot="1">
      <c r="A739" s="1462"/>
      <c r="B739" s="1383"/>
      <c r="C739" s="1383"/>
      <c r="D739" s="1364"/>
      <c r="E739" s="1416"/>
      <c r="F739" s="1416"/>
      <c r="G739" s="1463"/>
    </row>
    <row r="740" spans="1:7" ht="15.75" thickBot="1">
      <c r="A740" s="1299">
        <v>11</v>
      </c>
      <c r="B740" s="2366" t="s">
        <v>2014</v>
      </c>
      <c r="C740" s="2367"/>
      <c r="D740" s="2367"/>
      <c r="E740" s="2367"/>
      <c r="F740" s="2367"/>
      <c r="G740" s="2368"/>
    </row>
    <row r="741" spans="1:7" ht="15.75" thickBot="1">
      <c r="A741" s="1299" t="s">
        <v>81</v>
      </c>
      <c r="B741" s="2366" t="s">
        <v>2015</v>
      </c>
      <c r="C741" s="2367"/>
      <c r="D741" s="2367"/>
      <c r="E741" s="2367"/>
      <c r="F741" s="2367"/>
      <c r="G741" s="2368"/>
    </row>
    <row r="742" spans="1:7">
      <c r="A742" s="2411" t="s">
        <v>306</v>
      </c>
      <c r="B742" s="2412"/>
      <c r="C742" s="2412"/>
      <c r="D742" s="2412"/>
      <c r="E742" s="2412"/>
      <c r="F742" s="2412"/>
      <c r="G742" s="2413"/>
    </row>
    <row r="743" spans="1:7">
      <c r="A743" s="2372" t="s">
        <v>2016</v>
      </c>
      <c r="B743" s="2373"/>
      <c r="C743" s="2373"/>
      <c r="D743" s="2373"/>
      <c r="E743" s="2373"/>
      <c r="F743" s="2373"/>
      <c r="G743" s="2374"/>
    </row>
    <row r="744" spans="1:7">
      <c r="A744" s="1313" t="s">
        <v>1847</v>
      </c>
      <c r="B744" s="1314" t="s">
        <v>321</v>
      </c>
      <c r="C744" s="1314" t="s">
        <v>1744</v>
      </c>
      <c r="D744" s="1314" t="s">
        <v>324</v>
      </c>
      <c r="E744" s="1314" t="s">
        <v>1745</v>
      </c>
      <c r="F744" s="1314" t="s">
        <v>1746</v>
      </c>
      <c r="G744" s="1370" t="s">
        <v>1747</v>
      </c>
    </row>
    <row r="745" spans="1:7">
      <c r="A745" s="1328" t="s">
        <v>2017</v>
      </c>
      <c r="B745" s="1372" t="s">
        <v>2018</v>
      </c>
      <c r="C745" s="1307">
        <v>1.8</v>
      </c>
      <c r="D745" s="1307">
        <f>ROUNDUP((((1.85+1.51)*1.8)),2)</f>
        <v>6.05</v>
      </c>
      <c r="E745" s="1372" t="s">
        <v>2019</v>
      </c>
      <c r="F745" s="1307">
        <f>(0.8*1.6*2)+(0.16*2)</f>
        <v>2.8800000000000003</v>
      </c>
      <c r="G745" s="1373">
        <f>ROUNDUP(D745-F745,2)</f>
        <v>3.17</v>
      </c>
    </row>
    <row r="746" spans="1:7">
      <c r="A746" s="1328" t="s">
        <v>2020</v>
      </c>
      <c r="B746" s="1372" t="s">
        <v>2021</v>
      </c>
      <c r="C746" s="1307">
        <v>2.8</v>
      </c>
      <c r="D746" s="1307">
        <f>ROUNDUP((((1.85+1.51)*1.8)),2)</f>
        <v>6.05</v>
      </c>
      <c r="E746" s="1372" t="s">
        <v>2019</v>
      </c>
      <c r="F746" s="1307">
        <f>(0.8*1.6*2)+(0.16*2)</f>
        <v>2.8800000000000003</v>
      </c>
      <c r="G746" s="1373">
        <f>ROUNDUP(D746-F746,2)</f>
        <v>3.17</v>
      </c>
    </row>
    <row r="747" spans="1:7" ht="15.75" thickBot="1">
      <c r="A747" s="2405" t="s">
        <v>310</v>
      </c>
      <c r="B747" s="2406"/>
      <c r="C747" s="2406"/>
      <c r="D747" s="2406"/>
      <c r="E747" s="2406"/>
      <c r="F747" s="2407"/>
      <c r="G747" s="1434">
        <f>ROUNDUP(G745+G746,2)</f>
        <v>6.34</v>
      </c>
    </row>
    <row r="748" spans="1:7" ht="15.75" thickBot="1">
      <c r="A748" s="1415"/>
      <c r="B748" s="1416"/>
      <c r="C748" s="1364"/>
      <c r="D748" s="1364"/>
      <c r="E748" s="1364"/>
      <c r="F748" s="1364"/>
      <c r="G748" s="1384"/>
    </row>
    <row r="749" spans="1:7" ht="15.75" thickBot="1">
      <c r="A749" s="1299">
        <v>12</v>
      </c>
      <c r="B749" s="2366" t="s">
        <v>2022</v>
      </c>
      <c r="C749" s="2367"/>
      <c r="D749" s="2367"/>
      <c r="E749" s="2367"/>
      <c r="F749" s="2367"/>
      <c r="G749" s="2368"/>
    </row>
    <row r="750" spans="1:7" ht="15.75" thickBot="1">
      <c r="A750" s="1299" t="s">
        <v>83</v>
      </c>
      <c r="B750" s="2366" t="s">
        <v>2023</v>
      </c>
      <c r="C750" s="2367"/>
      <c r="D750" s="2367"/>
      <c r="E750" s="2367"/>
      <c r="F750" s="2367"/>
      <c r="G750" s="2368"/>
    </row>
    <row r="751" spans="1:7">
      <c r="A751" s="2369" t="s">
        <v>306</v>
      </c>
      <c r="B751" s="2370"/>
      <c r="C751" s="2370"/>
      <c r="D751" s="2370"/>
      <c r="E751" s="2370"/>
      <c r="F751" s="2370"/>
      <c r="G751" s="2371"/>
    </row>
    <row r="752" spans="1:7">
      <c r="A752" s="2372" t="s">
        <v>2024</v>
      </c>
      <c r="B752" s="2373"/>
      <c r="C752" s="2373"/>
      <c r="D752" s="2373"/>
      <c r="E752" s="2373"/>
      <c r="F752" s="2373"/>
      <c r="G752" s="2374"/>
    </row>
    <row r="753" spans="1:7">
      <c r="A753" s="1313" t="s">
        <v>1847</v>
      </c>
      <c r="B753" s="1314" t="s">
        <v>2025</v>
      </c>
      <c r="C753" s="1314" t="s">
        <v>2026</v>
      </c>
      <c r="D753" s="1314" t="s">
        <v>2027</v>
      </c>
      <c r="E753" s="1314" t="s">
        <v>2028</v>
      </c>
      <c r="F753" s="2429" t="s">
        <v>327</v>
      </c>
      <c r="G753" s="2431"/>
    </row>
    <row r="754" spans="1:7">
      <c r="A754" s="1393" t="s">
        <v>1969</v>
      </c>
      <c r="B754" s="1394" t="s">
        <v>2029</v>
      </c>
      <c r="C754" s="1317" t="s">
        <v>2030</v>
      </c>
      <c r="D754" s="1307">
        <f>(0.1*(2+0.6+0.6))</f>
        <v>0.32000000000000006</v>
      </c>
      <c r="E754" s="1307">
        <f>ROUNDUP((0.6*2),2)</f>
        <v>1.2</v>
      </c>
      <c r="F754" s="2558">
        <f>D754+E754</f>
        <v>1.52</v>
      </c>
      <c r="G754" s="2559"/>
    </row>
    <row r="755" spans="1:7" ht="15.75" thickBot="1">
      <c r="A755" s="2405" t="s">
        <v>310</v>
      </c>
      <c r="B755" s="2406"/>
      <c r="C755" s="2406"/>
      <c r="D755" s="2406"/>
      <c r="E755" s="2407"/>
      <c r="F755" s="2480">
        <f>SUM(F754)</f>
        <v>1.52</v>
      </c>
      <c r="G755" s="2481"/>
    </row>
    <row r="756" spans="1:7" ht="15.75" thickBot="1">
      <c r="A756" s="1415"/>
      <c r="B756" s="1416"/>
      <c r="C756" s="1364"/>
      <c r="D756" s="1364"/>
      <c r="E756" s="1364"/>
      <c r="F756" s="1364"/>
      <c r="G756" s="1384"/>
    </row>
    <row r="757" spans="1:7" ht="15.75" thickBot="1">
      <c r="A757" s="1299" t="s">
        <v>84</v>
      </c>
      <c r="B757" s="2366" t="s">
        <v>2031</v>
      </c>
      <c r="C757" s="2367"/>
      <c r="D757" s="2367"/>
      <c r="E757" s="2367"/>
      <c r="F757" s="2367"/>
      <c r="G757" s="2368"/>
    </row>
    <row r="758" spans="1:7">
      <c r="A758" s="2369" t="s">
        <v>306</v>
      </c>
      <c r="B758" s="2370"/>
      <c r="C758" s="2370"/>
      <c r="D758" s="2370"/>
      <c r="E758" s="2370"/>
      <c r="F758" s="2370"/>
      <c r="G758" s="2371"/>
    </row>
    <row r="759" spans="1:7">
      <c r="A759" s="2372" t="s">
        <v>2024</v>
      </c>
      <c r="B759" s="2373"/>
      <c r="C759" s="2373"/>
      <c r="D759" s="2373"/>
      <c r="E759" s="2373"/>
      <c r="F759" s="2373"/>
      <c r="G759" s="2374"/>
    </row>
    <row r="760" spans="1:7">
      <c r="A760" s="1313" t="s">
        <v>1847</v>
      </c>
      <c r="B760" s="1314" t="s">
        <v>2025</v>
      </c>
      <c r="C760" s="1314" t="s">
        <v>2026</v>
      </c>
      <c r="D760" s="1314" t="s">
        <v>2027</v>
      </c>
      <c r="E760" s="1314" t="s">
        <v>2028</v>
      </c>
      <c r="F760" s="2429" t="s">
        <v>327</v>
      </c>
      <c r="G760" s="2431"/>
    </row>
    <row r="761" spans="1:7">
      <c r="A761" s="1393" t="s">
        <v>2032</v>
      </c>
      <c r="B761" s="1394" t="s">
        <v>2033</v>
      </c>
      <c r="C761" s="1317" t="s">
        <v>2034</v>
      </c>
      <c r="D761" s="1307">
        <f>0.1*0.6*1.3</f>
        <v>7.8E-2</v>
      </c>
      <c r="E761" s="1307">
        <f>ROUNDUP((0.6*1.3),2)</f>
        <v>0.78</v>
      </c>
      <c r="F761" s="2558">
        <f>(E761+D761)*2</f>
        <v>1.716</v>
      </c>
      <c r="G761" s="2559"/>
    </row>
    <row r="762" spans="1:7" ht="15.75" thickBot="1">
      <c r="A762" s="2405" t="s">
        <v>310</v>
      </c>
      <c r="B762" s="2406"/>
      <c r="C762" s="2406"/>
      <c r="D762" s="2406"/>
      <c r="E762" s="2407"/>
      <c r="F762" s="2480">
        <f>SUM(F761)</f>
        <v>1.716</v>
      </c>
      <c r="G762" s="2481"/>
    </row>
    <row r="763" spans="1:7" ht="15.75" thickBot="1">
      <c r="A763" s="1415"/>
      <c r="B763" s="1416"/>
      <c r="C763" s="1364"/>
      <c r="D763" s="1364"/>
      <c r="E763" s="1364"/>
      <c r="F763" s="1364"/>
      <c r="G763" s="1384"/>
    </row>
    <row r="764" spans="1:7" ht="15.75" thickBot="1">
      <c r="A764" s="1299" t="s">
        <v>85</v>
      </c>
      <c r="B764" s="2366" t="s">
        <v>2035</v>
      </c>
      <c r="C764" s="2367"/>
      <c r="D764" s="2367"/>
      <c r="E764" s="2367"/>
      <c r="F764" s="2367"/>
      <c r="G764" s="2368"/>
    </row>
    <row r="765" spans="1:7">
      <c r="A765" s="2369" t="s">
        <v>306</v>
      </c>
      <c r="B765" s="2370"/>
      <c r="C765" s="2370"/>
      <c r="D765" s="2370"/>
      <c r="E765" s="2370"/>
      <c r="F765" s="2370"/>
      <c r="G765" s="2371"/>
    </row>
    <row r="766" spans="1:7">
      <c r="A766" s="2372" t="s">
        <v>2024</v>
      </c>
      <c r="B766" s="2373"/>
      <c r="C766" s="2373"/>
      <c r="D766" s="2373"/>
      <c r="E766" s="2373"/>
      <c r="F766" s="2373"/>
      <c r="G766" s="2374"/>
    </row>
    <row r="767" spans="1:7">
      <c r="A767" s="1313" t="s">
        <v>1847</v>
      </c>
      <c r="B767" s="1314" t="s">
        <v>1786</v>
      </c>
      <c r="C767" s="1314" t="s">
        <v>1848</v>
      </c>
      <c r="D767" s="1314" t="s">
        <v>2036</v>
      </c>
      <c r="E767" s="1314" t="s">
        <v>1781</v>
      </c>
      <c r="F767" s="2429" t="s">
        <v>309</v>
      </c>
      <c r="G767" s="2431"/>
    </row>
    <row r="768" spans="1:7">
      <c r="A768" s="1393" t="s">
        <v>2037</v>
      </c>
      <c r="B768" s="1394">
        <v>0.35</v>
      </c>
      <c r="C768" s="1317">
        <v>1.2</v>
      </c>
      <c r="D768" s="1307">
        <f>B768*C768</f>
        <v>0.42</v>
      </c>
      <c r="E768" s="1307">
        <f>ROUNDUP(D768,2)</f>
        <v>0.42</v>
      </c>
      <c r="F768" s="2574"/>
      <c r="G768" s="2575"/>
    </row>
    <row r="769" spans="1:7">
      <c r="A769" s="2580"/>
      <c r="B769" s="2581"/>
      <c r="C769" s="2582"/>
      <c r="D769" s="1465" t="s">
        <v>310</v>
      </c>
      <c r="E769" s="1353">
        <f>ROUNDUP(E768,2)</f>
        <v>0.42</v>
      </c>
      <c r="F769" s="2576"/>
      <c r="G769" s="2577"/>
    </row>
    <row r="770" spans="1:7" ht="24">
      <c r="A770" s="1313" t="s">
        <v>2038</v>
      </c>
      <c r="B770" s="1314" t="s">
        <v>2039</v>
      </c>
      <c r="C770" s="1314" t="s">
        <v>1848</v>
      </c>
      <c r="D770" s="1314" t="s">
        <v>2040</v>
      </c>
      <c r="E770" s="1314" t="s">
        <v>2041</v>
      </c>
      <c r="F770" s="2576"/>
      <c r="G770" s="2577"/>
    </row>
    <row r="771" spans="1:7">
      <c r="A771" s="1393" t="s">
        <v>2037</v>
      </c>
      <c r="B771" s="1394">
        <v>0.03</v>
      </c>
      <c r="C771" s="1317">
        <v>1.2</v>
      </c>
      <c r="D771" s="1307">
        <f>C771*B771</f>
        <v>3.5999999999999997E-2</v>
      </c>
      <c r="E771" s="1307">
        <f>D771*2</f>
        <v>7.1999999999999995E-2</v>
      </c>
      <c r="F771" s="2576"/>
      <c r="G771" s="2577"/>
    </row>
    <row r="772" spans="1:7" ht="15.75" thickBot="1">
      <c r="A772" s="2499"/>
      <c r="B772" s="2480"/>
      <c r="C772" s="2583"/>
      <c r="D772" s="1466" t="s">
        <v>310</v>
      </c>
      <c r="E772" s="1308">
        <f>ROUNDUP(E771,2)</f>
        <v>0.08</v>
      </c>
      <c r="F772" s="2578"/>
      <c r="G772" s="2579"/>
    </row>
    <row r="773" spans="1:7" ht="15.75" thickBot="1">
      <c r="A773" s="1415"/>
      <c r="B773" s="1416"/>
      <c r="C773" s="1364"/>
      <c r="D773" s="1364"/>
      <c r="E773" s="1364"/>
      <c r="F773" s="1364"/>
      <c r="G773" s="1384"/>
    </row>
    <row r="774" spans="1:7" ht="15.75" thickBot="1">
      <c r="A774" s="1299">
        <v>13</v>
      </c>
      <c r="B774" s="2366" t="s">
        <v>2042</v>
      </c>
      <c r="C774" s="2367"/>
      <c r="D774" s="2367"/>
      <c r="E774" s="2367"/>
      <c r="F774" s="2367"/>
      <c r="G774" s="2368"/>
    </row>
    <row r="775" spans="1:7" ht="15.75" thickBot="1">
      <c r="A775" s="1299" t="s">
        <v>88</v>
      </c>
      <c r="B775" s="2366" t="s">
        <v>2043</v>
      </c>
      <c r="C775" s="2367"/>
      <c r="D775" s="2367"/>
      <c r="E775" s="2367"/>
      <c r="F775" s="2367"/>
      <c r="G775" s="2368"/>
    </row>
    <row r="776" spans="1:7">
      <c r="A776" s="2369" t="s">
        <v>2044</v>
      </c>
      <c r="B776" s="2370"/>
      <c r="C776" s="2370"/>
      <c r="D776" s="2370"/>
      <c r="E776" s="2370"/>
      <c r="F776" s="2370"/>
      <c r="G776" s="2371"/>
    </row>
    <row r="777" spans="1:7">
      <c r="A777" s="2372" t="s">
        <v>2045</v>
      </c>
      <c r="B777" s="2373"/>
      <c r="C777" s="2373"/>
      <c r="D777" s="2373"/>
      <c r="E777" s="2373"/>
      <c r="F777" s="2373"/>
      <c r="G777" s="2374"/>
    </row>
    <row r="778" spans="1:7">
      <c r="A778" s="1313" t="s">
        <v>321</v>
      </c>
      <c r="B778" s="1314" t="s">
        <v>321</v>
      </c>
      <c r="C778" s="1314" t="s">
        <v>1744</v>
      </c>
      <c r="D778" s="1314" t="s">
        <v>324</v>
      </c>
      <c r="E778" s="1314" t="s">
        <v>1745</v>
      </c>
      <c r="F778" s="1314" t="s">
        <v>1746</v>
      </c>
      <c r="G778" s="1370" t="s">
        <v>1747</v>
      </c>
    </row>
    <row r="779" spans="1:7">
      <c r="A779" s="2442" t="s">
        <v>1859</v>
      </c>
      <c r="B779" s="2443"/>
      <c r="C779" s="2443"/>
      <c r="D779" s="2443"/>
      <c r="E779" s="2443"/>
      <c r="F779" s="2443"/>
      <c r="G779" s="2444"/>
    </row>
    <row r="780" spans="1:7">
      <c r="A780" s="1328" t="s">
        <v>1860</v>
      </c>
      <c r="B780" s="1307">
        <v>1.5</v>
      </c>
      <c r="C780" s="1307">
        <v>2.8</v>
      </c>
      <c r="D780" s="1307">
        <f t="shared" ref="D780:D787" si="24">B780*C780</f>
        <v>4.1999999999999993</v>
      </c>
      <c r="E780" s="1307"/>
      <c r="F780" s="1307"/>
      <c r="G780" s="1373">
        <f t="shared" ref="G780:G787" si="25">D780-F780</f>
        <v>4.1999999999999993</v>
      </c>
    </row>
    <row r="781" spans="1:7">
      <c r="A781" s="1328" t="s">
        <v>1861</v>
      </c>
      <c r="B781" s="1427">
        <v>1.95</v>
      </c>
      <c r="C781" s="1307">
        <v>2.8</v>
      </c>
      <c r="D781" s="1307">
        <f t="shared" si="24"/>
        <v>5.46</v>
      </c>
      <c r="E781" s="1372" t="s">
        <v>1862</v>
      </c>
      <c r="F781" s="1307">
        <f>0.8*2.1</f>
        <v>1.6800000000000002</v>
      </c>
      <c r="G781" s="1373">
        <f t="shared" si="25"/>
        <v>3.78</v>
      </c>
    </row>
    <row r="782" spans="1:7" ht="36">
      <c r="A782" s="1328" t="s">
        <v>1863</v>
      </c>
      <c r="B782" s="1307">
        <f>1.05+2.85+3.85+1.85+1.08+2</f>
        <v>12.68</v>
      </c>
      <c r="C782" s="1307">
        <v>0.7</v>
      </c>
      <c r="D782" s="1307">
        <f t="shared" si="24"/>
        <v>8.8759999999999994</v>
      </c>
      <c r="E782" s="1307"/>
      <c r="F782" s="1307"/>
      <c r="G782" s="1373">
        <f t="shared" si="25"/>
        <v>8.8759999999999994</v>
      </c>
    </row>
    <row r="783" spans="1:7" ht="36">
      <c r="A783" s="1328" t="s">
        <v>1864</v>
      </c>
      <c r="B783" s="1307">
        <f>1.05+2.85+3.85+1.85+1.08+2</f>
        <v>12.68</v>
      </c>
      <c r="C783" s="1307">
        <v>0.7</v>
      </c>
      <c r="D783" s="1307">
        <f t="shared" si="24"/>
        <v>8.8759999999999994</v>
      </c>
      <c r="E783" s="1307"/>
      <c r="F783" s="1307"/>
      <c r="G783" s="1373">
        <f t="shared" si="25"/>
        <v>8.8759999999999994</v>
      </c>
    </row>
    <row r="784" spans="1:7" ht="24">
      <c r="A784" s="1328" t="s">
        <v>1903</v>
      </c>
      <c r="B784" s="1307">
        <f>1.85+1.65+1.85+1.65</f>
        <v>7</v>
      </c>
      <c r="C784" s="1307">
        <v>0.7</v>
      </c>
      <c r="D784" s="1307">
        <f t="shared" si="24"/>
        <v>4.8999999999999995</v>
      </c>
      <c r="E784" s="1307"/>
      <c r="F784" s="1307"/>
      <c r="G784" s="1373">
        <f t="shared" si="25"/>
        <v>4.8999999999999995</v>
      </c>
    </row>
    <row r="785" spans="1:7" ht="24">
      <c r="A785" s="1328" t="s">
        <v>1904</v>
      </c>
      <c r="B785" s="1307">
        <f>1.85+1.65+1.85+1.65</f>
        <v>7</v>
      </c>
      <c r="C785" s="1307">
        <v>0.7</v>
      </c>
      <c r="D785" s="1307">
        <f t="shared" si="24"/>
        <v>4.8999999999999995</v>
      </c>
      <c r="E785" s="1307"/>
      <c r="F785" s="1307"/>
      <c r="G785" s="1373">
        <f t="shared" si="25"/>
        <v>4.8999999999999995</v>
      </c>
    </row>
    <row r="786" spans="1:7">
      <c r="A786" s="1328" t="s">
        <v>1868</v>
      </c>
      <c r="B786" s="1307">
        <f>1.35+1.35+2.35+2.35</f>
        <v>7.4</v>
      </c>
      <c r="C786" s="1307">
        <v>0.7</v>
      </c>
      <c r="D786" s="1307">
        <f t="shared" si="24"/>
        <v>5.18</v>
      </c>
      <c r="E786" s="1307"/>
      <c r="F786" s="1307"/>
      <c r="G786" s="1373">
        <f t="shared" si="25"/>
        <v>5.18</v>
      </c>
    </row>
    <row r="787" spans="1:7">
      <c r="A787" s="1328" t="s">
        <v>1869</v>
      </c>
      <c r="B787" s="1307">
        <f>3.85+3.85+2+2</f>
        <v>11.7</v>
      </c>
      <c r="C787" s="1307">
        <v>0.7</v>
      </c>
      <c r="D787" s="1307">
        <f t="shared" si="24"/>
        <v>8.19</v>
      </c>
      <c r="E787" s="1307"/>
      <c r="F787" s="1307"/>
      <c r="G787" s="1373">
        <f t="shared" si="25"/>
        <v>8.19</v>
      </c>
    </row>
    <row r="788" spans="1:7">
      <c r="A788" s="2520"/>
      <c r="B788" s="2503"/>
      <c r="C788" s="2503"/>
      <c r="D788" s="2503"/>
      <c r="E788" s="2503"/>
      <c r="F788" s="2503"/>
      <c r="G788" s="2504"/>
    </row>
    <row r="789" spans="1:7">
      <c r="A789" s="2442" t="s">
        <v>1870</v>
      </c>
      <c r="B789" s="2443"/>
      <c r="C789" s="2443"/>
      <c r="D789" s="2443"/>
      <c r="E789" s="2443"/>
      <c r="F789" s="2443"/>
      <c r="G789" s="2444"/>
    </row>
    <row r="790" spans="1:7">
      <c r="A790" s="1328" t="s">
        <v>1871</v>
      </c>
      <c r="B790" s="1307">
        <v>3.5</v>
      </c>
      <c r="C790" s="1307">
        <v>2.8</v>
      </c>
      <c r="D790" s="1307">
        <f t="shared" ref="D790:D801" si="26">B790*C790</f>
        <v>9.7999999999999989</v>
      </c>
      <c r="E790" s="1372" t="s">
        <v>1862</v>
      </c>
      <c r="F790" s="1307">
        <f>0.8*2.1</f>
        <v>1.6800000000000002</v>
      </c>
      <c r="G790" s="1373">
        <f t="shared" ref="G790:G801" si="27">D790-F790</f>
        <v>8.1199999999999992</v>
      </c>
    </row>
    <row r="791" spans="1:7" ht="24">
      <c r="A791" s="1328" t="s">
        <v>1872</v>
      </c>
      <c r="B791" s="1307">
        <f>3.15+3.5</f>
        <v>6.65</v>
      </c>
      <c r="C791" s="1307">
        <v>2.8</v>
      </c>
      <c r="D791" s="1307">
        <f t="shared" si="26"/>
        <v>18.62</v>
      </c>
      <c r="E791" s="1372" t="s">
        <v>1873</v>
      </c>
      <c r="F791" s="1307">
        <f>(0.8*2.1)+(1.1*0.6*2)</f>
        <v>3</v>
      </c>
      <c r="G791" s="1373">
        <f t="shared" si="27"/>
        <v>15.620000000000001</v>
      </c>
    </row>
    <row r="792" spans="1:7">
      <c r="A792" s="1328" t="s">
        <v>1874</v>
      </c>
      <c r="B792" s="1307">
        <f>3.35+3.15</f>
        <v>6.5</v>
      </c>
      <c r="C792" s="1307">
        <v>2.8</v>
      </c>
      <c r="D792" s="1307">
        <f t="shared" si="26"/>
        <v>18.2</v>
      </c>
      <c r="E792" s="1307"/>
      <c r="F792" s="1307"/>
      <c r="G792" s="1373">
        <f t="shared" si="27"/>
        <v>18.2</v>
      </c>
    </row>
    <row r="793" spans="1:7" ht="24">
      <c r="A793" s="1328" t="s">
        <v>1875</v>
      </c>
      <c r="B793" s="1307">
        <v>8</v>
      </c>
      <c r="C793" s="1307">
        <v>2.8</v>
      </c>
      <c r="D793" s="1307">
        <f t="shared" si="26"/>
        <v>22.4</v>
      </c>
      <c r="E793" s="1372" t="s">
        <v>1876</v>
      </c>
      <c r="F793" s="1307">
        <f>(2.2*1.1)+(0.8*2.1)</f>
        <v>4.1000000000000005</v>
      </c>
      <c r="G793" s="1373">
        <f t="shared" si="27"/>
        <v>18.299999999999997</v>
      </c>
    </row>
    <row r="794" spans="1:7">
      <c r="A794" s="1328" t="s">
        <v>1875</v>
      </c>
      <c r="B794" s="1307">
        <v>8</v>
      </c>
      <c r="C794" s="1307">
        <v>2.8</v>
      </c>
      <c r="D794" s="1307">
        <f t="shared" si="26"/>
        <v>22.4</v>
      </c>
      <c r="E794" s="1307"/>
      <c r="F794" s="1307"/>
      <c r="G794" s="1373">
        <f t="shared" si="27"/>
        <v>22.4</v>
      </c>
    </row>
    <row r="795" spans="1:7">
      <c r="A795" s="1328" t="s">
        <v>1877</v>
      </c>
      <c r="B795" s="1307">
        <v>3.5</v>
      </c>
      <c r="C795" s="1307">
        <v>2.8</v>
      </c>
      <c r="D795" s="1307">
        <f t="shared" si="26"/>
        <v>9.7999999999999989</v>
      </c>
      <c r="E795" s="1372" t="s">
        <v>1878</v>
      </c>
      <c r="F795" s="1307">
        <f>2.2*1.1</f>
        <v>2.4200000000000004</v>
      </c>
      <c r="G795" s="1373">
        <f t="shared" si="27"/>
        <v>7.379999999999999</v>
      </c>
    </row>
    <row r="796" spans="1:7">
      <c r="A796" s="1328" t="s">
        <v>1879</v>
      </c>
      <c r="B796" s="1307">
        <f>2.55+2</f>
        <v>4.55</v>
      </c>
      <c r="C796" s="1307">
        <v>2.8</v>
      </c>
      <c r="D796" s="1307">
        <f t="shared" si="26"/>
        <v>12.739999999999998</v>
      </c>
      <c r="E796" s="1307"/>
      <c r="F796" s="1307"/>
      <c r="G796" s="1373">
        <f t="shared" si="27"/>
        <v>12.739999999999998</v>
      </c>
    </row>
    <row r="797" spans="1:7" ht="24">
      <c r="A797" s="1428" t="s">
        <v>1880</v>
      </c>
      <c r="B797" s="1429">
        <v>4</v>
      </c>
      <c r="C797" s="1406">
        <v>2.8</v>
      </c>
      <c r="D797" s="1406">
        <f t="shared" si="26"/>
        <v>11.2</v>
      </c>
      <c r="E797" s="1430" t="s">
        <v>1881</v>
      </c>
      <c r="F797" s="1406">
        <f>(1.3*2.1)+(2.3*1.1)</f>
        <v>5.26</v>
      </c>
      <c r="G797" s="1431">
        <f t="shared" si="27"/>
        <v>5.9399999999999995</v>
      </c>
    </row>
    <row r="798" spans="1:7" ht="24">
      <c r="A798" s="1428" t="s">
        <v>1882</v>
      </c>
      <c r="B798" s="1429">
        <f>2.15+1.35+1.5</f>
        <v>5</v>
      </c>
      <c r="C798" s="1406">
        <v>5.23</v>
      </c>
      <c r="D798" s="1406">
        <f t="shared" si="26"/>
        <v>26.150000000000002</v>
      </c>
      <c r="E798" s="1430" t="s">
        <v>1883</v>
      </c>
      <c r="F798" s="1406">
        <f>1.2*1.1+(0.8*2.1)+(0.9*2.1)</f>
        <v>4.8900000000000006</v>
      </c>
      <c r="G798" s="1431">
        <f t="shared" si="27"/>
        <v>21.26</v>
      </c>
    </row>
    <row r="799" spans="1:7">
      <c r="A799" s="1428" t="s">
        <v>1884</v>
      </c>
      <c r="B799" s="1429">
        <v>1.5</v>
      </c>
      <c r="C799" s="1406">
        <v>5.23</v>
      </c>
      <c r="D799" s="1406">
        <f t="shared" si="26"/>
        <v>7.8450000000000006</v>
      </c>
      <c r="E799" s="1406"/>
      <c r="F799" s="1406"/>
      <c r="G799" s="1431">
        <f t="shared" si="27"/>
        <v>7.8450000000000006</v>
      </c>
    </row>
    <row r="800" spans="1:7" ht="24">
      <c r="A800" s="1428" t="s">
        <v>1885</v>
      </c>
      <c r="B800" s="1429">
        <f>4.6+9.6</f>
        <v>14.2</v>
      </c>
      <c r="C800" s="1406">
        <v>4.7300000000000004</v>
      </c>
      <c r="D800" s="1406">
        <f t="shared" si="26"/>
        <v>67.165999999999997</v>
      </c>
      <c r="E800" s="1430" t="s">
        <v>1886</v>
      </c>
      <c r="F800" s="1406">
        <f>2.3*1.1*2+(0.8*2.1)+(1*2.1)</f>
        <v>8.84</v>
      </c>
      <c r="G800" s="1431">
        <f t="shared" si="27"/>
        <v>58.325999999999993</v>
      </c>
    </row>
    <row r="801" spans="1:7">
      <c r="A801" s="1428" t="s">
        <v>1887</v>
      </c>
      <c r="B801" s="1429">
        <v>4.5999999999999996</v>
      </c>
      <c r="C801" s="1406">
        <v>1.93</v>
      </c>
      <c r="D801" s="1406">
        <f t="shared" si="26"/>
        <v>8.8779999999999983</v>
      </c>
      <c r="E801" s="1406"/>
      <c r="F801" s="1406"/>
      <c r="G801" s="1431">
        <f t="shared" si="27"/>
        <v>8.8779999999999983</v>
      </c>
    </row>
    <row r="802" spans="1:7">
      <c r="A802" s="2520"/>
      <c r="B802" s="2503"/>
      <c r="C802" s="2503"/>
      <c r="D802" s="2503"/>
      <c r="E802" s="2503"/>
      <c r="F802" s="2503"/>
      <c r="G802" s="2504"/>
    </row>
    <row r="803" spans="1:7">
      <c r="A803" s="2442" t="s">
        <v>1888</v>
      </c>
      <c r="B803" s="2443"/>
      <c r="C803" s="2443"/>
      <c r="D803" s="2443"/>
      <c r="E803" s="2443"/>
      <c r="F803" s="2443"/>
      <c r="G803" s="2444"/>
    </row>
    <row r="804" spans="1:7" ht="24">
      <c r="A804" s="1328" t="s">
        <v>1889</v>
      </c>
      <c r="B804" s="1376">
        <f>7.5+4.65</f>
        <v>12.15</v>
      </c>
      <c r="C804" s="1307">
        <v>2.8</v>
      </c>
      <c r="D804" s="1307">
        <f t="shared" ref="D804:D812" si="28">B804*C804</f>
        <v>34.019999999999996</v>
      </c>
      <c r="E804" s="1372" t="s">
        <v>1890</v>
      </c>
      <c r="F804" s="1307">
        <f>(1.6*2.1)+(3*1.1*0.6)</f>
        <v>5.34</v>
      </c>
      <c r="G804" s="1373">
        <f t="shared" ref="G804:G812" si="29">D804-F804</f>
        <v>28.679999999999996</v>
      </c>
    </row>
    <row r="805" spans="1:7">
      <c r="A805" s="1328" t="s">
        <v>1889</v>
      </c>
      <c r="B805" s="1376">
        <f>7.5+4.65</f>
        <v>12.15</v>
      </c>
      <c r="C805" s="1307">
        <v>2.8</v>
      </c>
      <c r="D805" s="1307">
        <f t="shared" si="28"/>
        <v>34.019999999999996</v>
      </c>
      <c r="E805" s="1307"/>
      <c r="F805" s="1307"/>
      <c r="G805" s="1373">
        <f t="shared" si="29"/>
        <v>34.019999999999996</v>
      </c>
    </row>
    <row r="806" spans="1:7" ht="24">
      <c r="A806" s="1328" t="s">
        <v>1891</v>
      </c>
      <c r="B806" s="1427">
        <f>8.85+10.35</f>
        <v>19.2</v>
      </c>
      <c r="C806" s="1307">
        <v>2.8</v>
      </c>
      <c r="D806" s="1307">
        <f t="shared" si="28"/>
        <v>53.76</v>
      </c>
      <c r="E806" s="1372" t="s">
        <v>1892</v>
      </c>
      <c r="F806" s="1307">
        <f>2.3*1.1*5</f>
        <v>12.649999999999999</v>
      </c>
      <c r="G806" s="1373">
        <f t="shared" si="29"/>
        <v>41.11</v>
      </c>
    </row>
    <row r="807" spans="1:7">
      <c r="A807" s="1328" t="s">
        <v>1893</v>
      </c>
      <c r="B807" s="1427">
        <f>4.65+4</f>
        <v>8.65</v>
      </c>
      <c r="C807" s="1307">
        <v>2.8</v>
      </c>
      <c r="D807" s="1307">
        <f t="shared" si="28"/>
        <v>24.22</v>
      </c>
      <c r="E807" s="1307"/>
      <c r="F807" s="1307"/>
      <c r="G807" s="1373">
        <f t="shared" si="29"/>
        <v>24.22</v>
      </c>
    </row>
    <row r="808" spans="1:7">
      <c r="A808" s="1328" t="s">
        <v>1894</v>
      </c>
      <c r="B808" s="1427">
        <v>5.5</v>
      </c>
      <c r="C808" s="1307">
        <v>2.8</v>
      </c>
      <c r="D808" s="1307">
        <f t="shared" si="28"/>
        <v>15.399999999999999</v>
      </c>
      <c r="E808" s="1372" t="s">
        <v>1895</v>
      </c>
      <c r="F808" s="1307">
        <f>2.3*1.1</f>
        <v>2.5299999999999998</v>
      </c>
      <c r="G808" s="1373">
        <f t="shared" si="29"/>
        <v>12.87</v>
      </c>
    </row>
    <row r="809" spans="1:7">
      <c r="A809" s="1328" t="s">
        <v>1896</v>
      </c>
      <c r="B809" s="1427">
        <v>4.5</v>
      </c>
      <c r="C809" s="1307">
        <v>2.8</v>
      </c>
      <c r="D809" s="1307">
        <f t="shared" si="28"/>
        <v>12.6</v>
      </c>
      <c r="E809" s="1307"/>
      <c r="F809" s="1307"/>
      <c r="G809" s="1373">
        <f t="shared" si="29"/>
        <v>12.6</v>
      </c>
    </row>
    <row r="810" spans="1:7">
      <c r="A810" s="1428" t="s">
        <v>1897</v>
      </c>
      <c r="B810" s="1429">
        <v>5</v>
      </c>
      <c r="C810" s="1406">
        <v>2.8</v>
      </c>
      <c r="D810" s="1406">
        <f t="shared" si="28"/>
        <v>14</v>
      </c>
      <c r="E810" s="1406"/>
      <c r="F810" s="1406"/>
      <c r="G810" s="1431">
        <f t="shared" si="29"/>
        <v>14</v>
      </c>
    </row>
    <row r="811" spans="1:7">
      <c r="A811" s="1428" t="s">
        <v>1898</v>
      </c>
      <c r="B811" s="1429">
        <v>9</v>
      </c>
      <c r="C811" s="1406">
        <v>2.8</v>
      </c>
      <c r="D811" s="1406">
        <f t="shared" si="28"/>
        <v>25.2</v>
      </c>
      <c r="E811" s="1406"/>
      <c r="F811" s="1406"/>
      <c r="G811" s="1431">
        <f t="shared" si="29"/>
        <v>25.2</v>
      </c>
    </row>
    <row r="812" spans="1:7">
      <c r="A812" s="1428" t="s">
        <v>1899</v>
      </c>
      <c r="B812" s="1429">
        <v>6.15</v>
      </c>
      <c r="C812" s="1406">
        <v>5.23</v>
      </c>
      <c r="D812" s="1406">
        <f t="shared" si="28"/>
        <v>32.164500000000004</v>
      </c>
      <c r="E812" s="1430" t="s">
        <v>2046</v>
      </c>
      <c r="F812" s="1406">
        <f>0.8*2.1*4</f>
        <v>6.7200000000000006</v>
      </c>
      <c r="G812" s="1431">
        <f t="shared" si="29"/>
        <v>25.444500000000005</v>
      </c>
    </row>
    <row r="813" spans="1:7">
      <c r="A813" s="2520"/>
      <c r="B813" s="2503"/>
      <c r="C813" s="2503"/>
      <c r="D813" s="2503"/>
      <c r="E813" s="2503"/>
      <c r="F813" s="2503"/>
      <c r="G813" s="2504"/>
    </row>
    <row r="814" spans="1:7">
      <c r="A814" s="2466" t="s">
        <v>2047</v>
      </c>
      <c r="B814" s="2430"/>
      <c r="C814" s="2430"/>
      <c r="D814" s="2430"/>
      <c r="E814" s="2430"/>
      <c r="F814" s="2430"/>
      <c r="G814" s="2431"/>
    </row>
    <row r="815" spans="1:7">
      <c r="A815" s="2515"/>
      <c r="B815" s="2516"/>
      <c r="C815" s="2472" t="s">
        <v>1859</v>
      </c>
      <c r="D815" s="2473"/>
      <c r="E815" s="2473"/>
      <c r="F815" s="2474"/>
      <c r="G815" s="1373"/>
    </row>
    <row r="816" spans="1:7">
      <c r="A816" s="2509"/>
      <c r="B816" s="2517"/>
      <c r="C816" s="2458" t="s">
        <v>310</v>
      </c>
      <c r="D816" s="2459"/>
      <c r="E816" s="2459"/>
      <c r="F816" s="2460"/>
      <c r="G816" s="1432">
        <f>ROUNDUP(G780+G781+G782+G783+G784+G785+G786+G787,2)</f>
        <v>48.91</v>
      </c>
    </row>
    <row r="817" spans="1:7">
      <c r="A817" s="2509"/>
      <c r="B817" s="2517"/>
      <c r="C817" s="2472" t="s">
        <v>1870</v>
      </c>
      <c r="D817" s="2473"/>
      <c r="E817" s="2473"/>
      <c r="F817" s="2474"/>
      <c r="G817" s="1433"/>
    </row>
    <row r="818" spans="1:7">
      <c r="A818" s="2509"/>
      <c r="B818" s="2517"/>
      <c r="C818" s="2458" t="s">
        <v>310</v>
      </c>
      <c r="D818" s="2459"/>
      <c r="E818" s="2459"/>
      <c r="F818" s="2460"/>
      <c r="G818" s="1432">
        <f>ROUNDUP(G790+G791+G792+G793+G794+G795+G796+G797+G798+G799+G800+G801,2)</f>
        <v>205.01</v>
      </c>
    </row>
    <row r="819" spans="1:7">
      <c r="A819" s="2509"/>
      <c r="B819" s="2517"/>
      <c r="C819" s="2472" t="s">
        <v>1888</v>
      </c>
      <c r="D819" s="2473"/>
      <c r="E819" s="2473"/>
      <c r="F819" s="2474"/>
      <c r="G819" s="1433"/>
    </row>
    <row r="820" spans="1:7">
      <c r="A820" s="2518"/>
      <c r="B820" s="2519"/>
      <c r="C820" s="2458" t="s">
        <v>310</v>
      </c>
      <c r="D820" s="2459"/>
      <c r="E820" s="2459"/>
      <c r="F820" s="2460"/>
      <c r="G820" s="1432">
        <f>ROUNDUP(G804+G810+G811+G805+G806+G808+G809+G812,2)</f>
        <v>193.92999999999998</v>
      </c>
    </row>
    <row r="821" spans="1:7" ht="15.75" thickBot="1">
      <c r="A821" s="2533" t="s">
        <v>325</v>
      </c>
      <c r="B821" s="2534"/>
      <c r="C821" s="2534"/>
      <c r="D821" s="2534"/>
      <c r="E821" s="2534"/>
      <c r="F821" s="2535"/>
      <c r="G821" s="1434">
        <f>ROUNDUP(G816+G818+G820,2)</f>
        <v>447.85</v>
      </c>
    </row>
    <row r="822" spans="1:7" ht="15.75" thickBot="1">
      <c r="A822" s="1467"/>
      <c r="B822" s="1468"/>
      <c r="C822" s="1468"/>
      <c r="D822" s="1468"/>
      <c r="E822" s="1468"/>
      <c r="F822" s="1468"/>
      <c r="G822" s="1469"/>
    </row>
    <row r="823" spans="1:7" ht="15.75" thickBot="1">
      <c r="A823" s="1299" t="s">
        <v>89</v>
      </c>
      <c r="B823" s="2366" t="s">
        <v>2048</v>
      </c>
      <c r="C823" s="2367"/>
      <c r="D823" s="2367"/>
      <c r="E823" s="2367"/>
      <c r="F823" s="2367"/>
      <c r="G823" s="2368"/>
    </row>
    <row r="824" spans="1:7">
      <c r="A824" s="2369" t="s">
        <v>2044</v>
      </c>
      <c r="B824" s="2370"/>
      <c r="C824" s="2370"/>
      <c r="D824" s="2370"/>
      <c r="E824" s="2370"/>
      <c r="F824" s="2370"/>
      <c r="G824" s="2371"/>
    </row>
    <row r="825" spans="1:7">
      <c r="A825" s="2372" t="s">
        <v>2045</v>
      </c>
      <c r="B825" s="2373"/>
      <c r="C825" s="2373"/>
      <c r="D825" s="2373"/>
      <c r="E825" s="2373"/>
      <c r="F825" s="2373"/>
      <c r="G825" s="2374"/>
    </row>
    <row r="826" spans="1:7">
      <c r="A826" s="1313" t="s">
        <v>321</v>
      </c>
      <c r="B826" s="1314" t="s">
        <v>321</v>
      </c>
      <c r="C826" s="1314" t="s">
        <v>1744</v>
      </c>
      <c r="D826" s="1314" t="s">
        <v>324</v>
      </c>
      <c r="E826" s="1314" t="s">
        <v>1745</v>
      </c>
      <c r="F826" s="1314" t="s">
        <v>1746</v>
      </c>
      <c r="G826" s="1370" t="s">
        <v>1747</v>
      </c>
    </row>
    <row r="827" spans="1:7">
      <c r="A827" s="2442" t="s">
        <v>1859</v>
      </c>
      <c r="B827" s="2443"/>
      <c r="C827" s="2443"/>
      <c r="D827" s="2443"/>
      <c r="E827" s="2443"/>
      <c r="F827" s="2443"/>
      <c r="G827" s="2444"/>
    </row>
    <row r="828" spans="1:7">
      <c r="A828" s="1328" t="s">
        <v>1860</v>
      </c>
      <c r="B828" s="1307">
        <v>1.5</v>
      </c>
      <c r="C828" s="1307">
        <v>2.8</v>
      </c>
      <c r="D828" s="1307">
        <f t="shared" ref="D828:D835" si="30">B828*C828</f>
        <v>4.1999999999999993</v>
      </c>
      <c r="E828" s="1307"/>
      <c r="F828" s="1307"/>
      <c r="G828" s="1373">
        <f t="shared" ref="G828:G835" si="31">D828-F828</f>
        <v>4.1999999999999993</v>
      </c>
    </row>
    <row r="829" spans="1:7">
      <c r="A829" s="1328" t="s">
        <v>1861</v>
      </c>
      <c r="B829" s="1427">
        <v>1.95</v>
      </c>
      <c r="C829" s="1307">
        <v>2.8</v>
      </c>
      <c r="D829" s="1307">
        <f t="shared" si="30"/>
        <v>5.46</v>
      </c>
      <c r="E829" s="1372" t="s">
        <v>1862</v>
      </c>
      <c r="F829" s="1307">
        <f>0.8*2.1</f>
        <v>1.6800000000000002</v>
      </c>
      <c r="G829" s="1373">
        <f t="shared" si="31"/>
        <v>3.78</v>
      </c>
    </row>
    <row r="830" spans="1:7" ht="36">
      <c r="A830" s="1328" t="s">
        <v>1863</v>
      </c>
      <c r="B830" s="1307">
        <f>1.05+2.85+3.85+1.85+1.08+2</f>
        <v>12.68</v>
      </c>
      <c r="C830" s="1307">
        <v>0.7</v>
      </c>
      <c r="D830" s="1307">
        <f t="shared" si="30"/>
        <v>8.8759999999999994</v>
      </c>
      <c r="E830" s="1307"/>
      <c r="F830" s="1307"/>
      <c r="G830" s="1373">
        <f t="shared" si="31"/>
        <v>8.8759999999999994</v>
      </c>
    </row>
    <row r="831" spans="1:7" ht="36">
      <c r="A831" s="1328" t="s">
        <v>1864</v>
      </c>
      <c r="B831" s="1307">
        <f>1.05+2.85+3.85+1.85+1.08+2</f>
        <v>12.68</v>
      </c>
      <c r="C831" s="1307">
        <v>0.7</v>
      </c>
      <c r="D831" s="1307">
        <f t="shared" si="30"/>
        <v>8.8759999999999994</v>
      </c>
      <c r="E831" s="1307"/>
      <c r="F831" s="1307"/>
      <c r="G831" s="1373">
        <f t="shared" si="31"/>
        <v>8.8759999999999994</v>
      </c>
    </row>
    <row r="832" spans="1:7" ht="24">
      <c r="A832" s="1328" t="s">
        <v>1903</v>
      </c>
      <c r="B832" s="1307">
        <f>1.85+1.65+1.85+1.65</f>
        <v>7</v>
      </c>
      <c r="C832" s="1307">
        <v>0.7</v>
      </c>
      <c r="D832" s="1307">
        <f t="shared" si="30"/>
        <v>4.8999999999999995</v>
      </c>
      <c r="E832" s="1307"/>
      <c r="F832" s="1307"/>
      <c r="G832" s="1373">
        <f t="shared" si="31"/>
        <v>4.8999999999999995</v>
      </c>
    </row>
    <row r="833" spans="1:7" ht="24">
      <c r="A833" s="1328" t="s">
        <v>1904</v>
      </c>
      <c r="B833" s="1307">
        <f>1.85+1.65+1.85+1.65</f>
        <v>7</v>
      </c>
      <c r="C833" s="1307">
        <v>0.7</v>
      </c>
      <c r="D833" s="1307">
        <f t="shared" si="30"/>
        <v>4.8999999999999995</v>
      </c>
      <c r="E833" s="1307"/>
      <c r="F833" s="1307"/>
      <c r="G833" s="1373">
        <f t="shared" si="31"/>
        <v>4.8999999999999995</v>
      </c>
    </row>
    <row r="834" spans="1:7">
      <c r="A834" s="1328" t="s">
        <v>1868</v>
      </c>
      <c r="B834" s="1307">
        <f>1.35+1.35+2.35+2.35</f>
        <v>7.4</v>
      </c>
      <c r="C834" s="1307">
        <v>0.7</v>
      </c>
      <c r="D834" s="1307">
        <f t="shared" si="30"/>
        <v>5.18</v>
      </c>
      <c r="E834" s="1307"/>
      <c r="F834" s="1307"/>
      <c r="G834" s="1373">
        <f t="shared" si="31"/>
        <v>5.18</v>
      </c>
    </row>
    <row r="835" spans="1:7">
      <c r="A835" s="1328" t="s">
        <v>1869</v>
      </c>
      <c r="B835" s="1307">
        <f>3.85+3.85+2+2</f>
        <v>11.7</v>
      </c>
      <c r="C835" s="1307">
        <v>0.7</v>
      </c>
      <c r="D835" s="1307">
        <f t="shared" si="30"/>
        <v>8.19</v>
      </c>
      <c r="E835" s="1307"/>
      <c r="F835" s="1307"/>
      <c r="G835" s="1373">
        <f t="shared" si="31"/>
        <v>8.19</v>
      </c>
    </row>
    <row r="836" spans="1:7">
      <c r="A836" s="2520"/>
      <c r="B836" s="2503"/>
      <c r="C836" s="2503"/>
      <c r="D836" s="2503"/>
      <c r="E836" s="2503"/>
      <c r="F836" s="2503"/>
      <c r="G836" s="2504"/>
    </row>
    <row r="837" spans="1:7">
      <c r="A837" s="2442" t="s">
        <v>1870</v>
      </c>
      <c r="B837" s="2443"/>
      <c r="C837" s="2443"/>
      <c r="D837" s="2443"/>
      <c r="E837" s="2443"/>
      <c r="F837" s="2443"/>
      <c r="G837" s="2444"/>
    </row>
    <row r="838" spans="1:7">
      <c r="A838" s="1328" t="s">
        <v>1871</v>
      </c>
      <c r="B838" s="1307">
        <v>3.5</v>
      </c>
      <c r="C838" s="1307">
        <v>2.8</v>
      </c>
      <c r="D838" s="1307">
        <f t="shared" ref="D838:D849" si="32">B838*C838</f>
        <v>9.7999999999999989</v>
      </c>
      <c r="E838" s="1372" t="s">
        <v>1862</v>
      </c>
      <c r="F838" s="1307">
        <f>0.8*2.1</f>
        <v>1.6800000000000002</v>
      </c>
      <c r="G838" s="1373">
        <f t="shared" ref="G838:G849" si="33">D838-F838</f>
        <v>8.1199999999999992</v>
      </c>
    </row>
    <row r="839" spans="1:7" ht="24">
      <c r="A839" s="1328" t="s">
        <v>1872</v>
      </c>
      <c r="B839" s="1307">
        <f>3.15+3.5</f>
        <v>6.65</v>
      </c>
      <c r="C839" s="1307">
        <v>2.8</v>
      </c>
      <c r="D839" s="1307">
        <f t="shared" si="32"/>
        <v>18.62</v>
      </c>
      <c r="E839" s="1372" t="s">
        <v>1873</v>
      </c>
      <c r="F839" s="1307">
        <f>(0.8*2.1)+(1.1*0.6*2)</f>
        <v>3</v>
      </c>
      <c r="G839" s="1373">
        <f t="shared" si="33"/>
        <v>15.620000000000001</v>
      </c>
    </row>
    <row r="840" spans="1:7">
      <c r="A840" s="1328" t="s">
        <v>1874</v>
      </c>
      <c r="B840" s="1307">
        <f>3.35+3.15</f>
        <v>6.5</v>
      </c>
      <c r="C840" s="1307">
        <v>2.8</v>
      </c>
      <c r="D840" s="1307">
        <f t="shared" si="32"/>
        <v>18.2</v>
      </c>
      <c r="E840" s="1307"/>
      <c r="F840" s="1307"/>
      <c r="G840" s="1373">
        <f t="shared" si="33"/>
        <v>18.2</v>
      </c>
    </row>
    <row r="841" spans="1:7" ht="24">
      <c r="A841" s="1328" t="s">
        <v>1875</v>
      </c>
      <c r="B841" s="1307">
        <v>8</v>
      </c>
      <c r="C841" s="1307">
        <v>2.8</v>
      </c>
      <c r="D841" s="1307">
        <f t="shared" si="32"/>
        <v>22.4</v>
      </c>
      <c r="E841" s="1372" t="s">
        <v>1876</v>
      </c>
      <c r="F841" s="1307">
        <f>(2.2*1.1)+(0.8*2.1)</f>
        <v>4.1000000000000005</v>
      </c>
      <c r="G841" s="1373">
        <f t="shared" si="33"/>
        <v>18.299999999999997</v>
      </c>
    </row>
    <row r="842" spans="1:7">
      <c r="A842" s="1328" t="s">
        <v>1875</v>
      </c>
      <c r="B842" s="1307">
        <v>8</v>
      </c>
      <c r="C842" s="1307">
        <v>2.8</v>
      </c>
      <c r="D842" s="1307">
        <f t="shared" si="32"/>
        <v>22.4</v>
      </c>
      <c r="E842" s="1307"/>
      <c r="F842" s="1307"/>
      <c r="G842" s="1373">
        <f t="shared" si="33"/>
        <v>22.4</v>
      </c>
    </row>
    <row r="843" spans="1:7">
      <c r="A843" s="1328" t="s">
        <v>1877</v>
      </c>
      <c r="B843" s="1307">
        <v>3.5</v>
      </c>
      <c r="C843" s="1307">
        <v>2.8</v>
      </c>
      <c r="D843" s="1307">
        <f t="shared" si="32"/>
        <v>9.7999999999999989</v>
      </c>
      <c r="E843" s="1372" t="s">
        <v>1878</v>
      </c>
      <c r="F843" s="1307">
        <f>2.2*1.1</f>
        <v>2.4200000000000004</v>
      </c>
      <c r="G843" s="1373">
        <f t="shared" si="33"/>
        <v>7.379999999999999</v>
      </c>
    </row>
    <row r="844" spans="1:7">
      <c r="A844" s="1328" t="s">
        <v>1879</v>
      </c>
      <c r="B844" s="1307">
        <f>2.55+2</f>
        <v>4.55</v>
      </c>
      <c r="C844" s="1307">
        <v>2.8</v>
      </c>
      <c r="D844" s="1307">
        <f t="shared" si="32"/>
        <v>12.739999999999998</v>
      </c>
      <c r="E844" s="1307"/>
      <c r="F844" s="1307"/>
      <c r="G844" s="1373">
        <f t="shared" si="33"/>
        <v>12.739999999999998</v>
      </c>
    </row>
    <row r="845" spans="1:7" ht="24">
      <c r="A845" s="1428" t="s">
        <v>1880</v>
      </c>
      <c r="B845" s="1429">
        <v>4</v>
      </c>
      <c r="C845" s="1406">
        <v>2.8</v>
      </c>
      <c r="D845" s="1406">
        <f t="shared" si="32"/>
        <v>11.2</v>
      </c>
      <c r="E845" s="1430" t="s">
        <v>1881</v>
      </c>
      <c r="F845" s="1406">
        <f>(1.3*2.1)+(2.3*1.1)</f>
        <v>5.26</v>
      </c>
      <c r="G845" s="1431">
        <f t="shared" si="33"/>
        <v>5.9399999999999995</v>
      </c>
    </row>
    <row r="846" spans="1:7" ht="24">
      <c r="A846" s="1428" t="s">
        <v>1882</v>
      </c>
      <c r="B846" s="1429">
        <f>2.15+1.35+1.5</f>
        <v>5</v>
      </c>
      <c r="C846" s="1406">
        <v>5.23</v>
      </c>
      <c r="D846" s="1406">
        <f t="shared" si="32"/>
        <v>26.150000000000002</v>
      </c>
      <c r="E846" s="1430" t="s">
        <v>1883</v>
      </c>
      <c r="F846" s="1406">
        <f>1.2*1.1+(0.8*2.1)+(0.9*2.1)</f>
        <v>4.8900000000000006</v>
      </c>
      <c r="G846" s="1431">
        <f t="shared" si="33"/>
        <v>21.26</v>
      </c>
    </row>
    <row r="847" spans="1:7">
      <c r="A847" s="1428" t="s">
        <v>1884</v>
      </c>
      <c r="B847" s="1429">
        <v>1.5</v>
      </c>
      <c r="C847" s="1406">
        <v>5.23</v>
      </c>
      <c r="D847" s="1406">
        <f t="shared" si="32"/>
        <v>7.8450000000000006</v>
      </c>
      <c r="E847" s="1406"/>
      <c r="F847" s="1406"/>
      <c r="G847" s="1431">
        <f t="shared" si="33"/>
        <v>7.8450000000000006</v>
      </c>
    </row>
    <row r="848" spans="1:7" ht="24">
      <c r="A848" s="1428" t="s">
        <v>1885</v>
      </c>
      <c r="B848" s="1429">
        <f>4.6+9.6</f>
        <v>14.2</v>
      </c>
      <c r="C848" s="1406">
        <v>4.7300000000000004</v>
      </c>
      <c r="D848" s="1406">
        <f t="shared" si="32"/>
        <v>67.165999999999997</v>
      </c>
      <c r="E848" s="1430" t="s">
        <v>1886</v>
      </c>
      <c r="F848" s="1406">
        <f>2.3*1.1*2+(0.8*2.1)+(1*2.1)</f>
        <v>8.84</v>
      </c>
      <c r="G848" s="1431">
        <f t="shared" si="33"/>
        <v>58.325999999999993</v>
      </c>
    </row>
    <row r="849" spans="1:7">
      <c r="A849" s="1428" t="s">
        <v>1887</v>
      </c>
      <c r="B849" s="1429">
        <v>4.5999999999999996</v>
      </c>
      <c r="C849" s="1406">
        <v>1.93</v>
      </c>
      <c r="D849" s="1406">
        <f t="shared" si="32"/>
        <v>8.8779999999999983</v>
      </c>
      <c r="E849" s="1406"/>
      <c r="F849" s="1406"/>
      <c r="G849" s="1431">
        <f t="shared" si="33"/>
        <v>8.8779999999999983</v>
      </c>
    </row>
    <row r="850" spans="1:7">
      <c r="A850" s="2520"/>
      <c r="B850" s="2503"/>
      <c r="C850" s="2503"/>
      <c r="D850" s="2503"/>
      <c r="E850" s="2503"/>
      <c r="F850" s="2503"/>
      <c r="G850" s="2504"/>
    </row>
    <row r="851" spans="1:7">
      <c r="A851" s="2442" t="s">
        <v>1888</v>
      </c>
      <c r="B851" s="2443"/>
      <c r="C851" s="2443"/>
      <c r="D851" s="2443"/>
      <c r="E851" s="2443"/>
      <c r="F851" s="2443"/>
      <c r="G851" s="2444"/>
    </row>
    <row r="852" spans="1:7" ht="24">
      <c r="A852" s="1328" t="s">
        <v>1889</v>
      </c>
      <c r="B852" s="1376">
        <f>7.5+4.65</f>
        <v>12.15</v>
      </c>
      <c r="C852" s="1307">
        <v>2.8</v>
      </c>
      <c r="D852" s="1307">
        <f t="shared" ref="D852:D860" si="34">B852*C852</f>
        <v>34.019999999999996</v>
      </c>
      <c r="E852" s="1372" t="s">
        <v>1890</v>
      </c>
      <c r="F852" s="1307">
        <f>(1.6*2.1)+(3*1.1*0.6)</f>
        <v>5.34</v>
      </c>
      <c r="G852" s="1373">
        <f t="shared" ref="G852:G860" si="35">D852-F852</f>
        <v>28.679999999999996</v>
      </c>
    </row>
    <row r="853" spans="1:7">
      <c r="A853" s="1328" t="s">
        <v>1889</v>
      </c>
      <c r="B853" s="1376">
        <f>7.5+4.65</f>
        <v>12.15</v>
      </c>
      <c r="C853" s="1307">
        <v>2.8</v>
      </c>
      <c r="D853" s="1307">
        <f t="shared" si="34"/>
        <v>34.019999999999996</v>
      </c>
      <c r="E853" s="1307"/>
      <c r="F853" s="1307"/>
      <c r="G853" s="1373">
        <f t="shared" si="35"/>
        <v>34.019999999999996</v>
      </c>
    </row>
    <row r="854" spans="1:7" ht="24">
      <c r="A854" s="1328" t="s">
        <v>1891</v>
      </c>
      <c r="B854" s="1427">
        <f>8.85+10.35</f>
        <v>19.2</v>
      </c>
      <c r="C854" s="1307">
        <v>2.8</v>
      </c>
      <c r="D854" s="1307">
        <f t="shared" si="34"/>
        <v>53.76</v>
      </c>
      <c r="E854" s="1372" t="s">
        <v>1892</v>
      </c>
      <c r="F854" s="1307">
        <f>2.3*1.1*5</f>
        <v>12.649999999999999</v>
      </c>
      <c r="G854" s="1373">
        <f t="shared" si="35"/>
        <v>41.11</v>
      </c>
    </row>
    <row r="855" spans="1:7">
      <c r="A855" s="1328" t="s">
        <v>1893</v>
      </c>
      <c r="B855" s="1427">
        <f>4.65+4</f>
        <v>8.65</v>
      </c>
      <c r="C855" s="1307">
        <v>2.8</v>
      </c>
      <c r="D855" s="1307">
        <f t="shared" si="34"/>
        <v>24.22</v>
      </c>
      <c r="E855" s="1307"/>
      <c r="F855" s="1307"/>
      <c r="G855" s="1373">
        <f t="shared" si="35"/>
        <v>24.22</v>
      </c>
    </row>
    <row r="856" spans="1:7">
      <c r="A856" s="1328" t="s">
        <v>1894</v>
      </c>
      <c r="B856" s="1427">
        <v>5.5</v>
      </c>
      <c r="C856" s="1307">
        <v>2.8</v>
      </c>
      <c r="D856" s="1307">
        <f t="shared" si="34"/>
        <v>15.399999999999999</v>
      </c>
      <c r="E856" s="1372" t="s">
        <v>1895</v>
      </c>
      <c r="F856" s="1307">
        <f>2.3*1.1</f>
        <v>2.5299999999999998</v>
      </c>
      <c r="G856" s="1373">
        <f t="shared" si="35"/>
        <v>12.87</v>
      </c>
    </row>
    <row r="857" spans="1:7">
      <c r="A857" s="1328" t="s">
        <v>1896</v>
      </c>
      <c r="B857" s="1427">
        <v>4.5</v>
      </c>
      <c r="C857" s="1307">
        <v>2.8</v>
      </c>
      <c r="D857" s="1307">
        <f t="shared" si="34"/>
        <v>12.6</v>
      </c>
      <c r="E857" s="1307"/>
      <c r="F857" s="1307"/>
      <c r="G857" s="1373">
        <f t="shared" si="35"/>
        <v>12.6</v>
      </c>
    </row>
    <row r="858" spans="1:7">
      <c r="A858" s="1428" t="s">
        <v>1897</v>
      </c>
      <c r="B858" s="1429">
        <v>5</v>
      </c>
      <c r="C858" s="1406">
        <v>2.8</v>
      </c>
      <c r="D858" s="1406">
        <f t="shared" si="34"/>
        <v>14</v>
      </c>
      <c r="E858" s="1406"/>
      <c r="F858" s="1406"/>
      <c r="G858" s="1431">
        <f t="shared" si="35"/>
        <v>14</v>
      </c>
    </row>
    <row r="859" spans="1:7">
      <c r="A859" s="1428" t="s">
        <v>1898</v>
      </c>
      <c r="B859" s="1429">
        <v>9</v>
      </c>
      <c r="C859" s="1406">
        <v>2.8</v>
      </c>
      <c r="D859" s="1406">
        <f t="shared" si="34"/>
        <v>25.2</v>
      </c>
      <c r="E859" s="1406"/>
      <c r="F859" s="1406"/>
      <c r="G859" s="1431">
        <f t="shared" si="35"/>
        <v>25.2</v>
      </c>
    </row>
    <row r="860" spans="1:7">
      <c r="A860" s="1428" t="s">
        <v>1899</v>
      </c>
      <c r="B860" s="1429">
        <v>6.15</v>
      </c>
      <c r="C860" s="1406">
        <v>5.23</v>
      </c>
      <c r="D860" s="1406">
        <f t="shared" si="34"/>
        <v>32.164500000000004</v>
      </c>
      <c r="E860" s="1430" t="s">
        <v>2046</v>
      </c>
      <c r="F860" s="1406">
        <f>0.8*2.1*4</f>
        <v>6.7200000000000006</v>
      </c>
      <c r="G860" s="1431">
        <f t="shared" si="35"/>
        <v>25.444500000000005</v>
      </c>
    </row>
    <row r="861" spans="1:7">
      <c r="A861" s="2520"/>
      <c r="B861" s="2503"/>
      <c r="C861" s="2503"/>
      <c r="D861" s="2503"/>
      <c r="E861" s="2503"/>
      <c r="F861" s="2503"/>
      <c r="G861" s="2504"/>
    </row>
    <row r="862" spans="1:7">
      <c r="A862" s="2466" t="s">
        <v>2049</v>
      </c>
      <c r="B862" s="2430"/>
      <c r="C862" s="2430"/>
      <c r="D862" s="2430"/>
      <c r="E862" s="2430"/>
      <c r="F862" s="2430"/>
      <c r="G862" s="2431"/>
    </row>
    <row r="863" spans="1:7">
      <c r="A863" s="2515"/>
      <c r="B863" s="2516"/>
      <c r="C863" s="2472" t="s">
        <v>1859</v>
      </c>
      <c r="D863" s="2473"/>
      <c r="E863" s="2473"/>
      <c r="F863" s="2474"/>
      <c r="G863" s="1373"/>
    </row>
    <row r="864" spans="1:7">
      <c r="A864" s="2509"/>
      <c r="B864" s="2517"/>
      <c r="C864" s="2458" t="s">
        <v>310</v>
      </c>
      <c r="D864" s="2459"/>
      <c r="E864" s="2459"/>
      <c r="F864" s="2460"/>
      <c r="G864" s="1432">
        <f>ROUNDUP(G828+G829+G830+G831+G832+G833+G834+G835,2)</f>
        <v>48.91</v>
      </c>
    </row>
    <row r="865" spans="1:7">
      <c r="A865" s="2509"/>
      <c r="B865" s="2517"/>
      <c r="C865" s="2472" t="s">
        <v>1870</v>
      </c>
      <c r="D865" s="2473"/>
      <c r="E865" s="2473"/>
      <c r="F865" s="2474"/>
      <c r="G865" s="1433"/>
    </row>
    <row r="866" spans="1:7">
      <c r="A866" s="2509"/>
      <c r="B866" s="2517"/>
      <c r="C866" s="2458" t="s">
        <v>310</v>
      </c>
      <c r="D866" s="2459"/>
      <c r="E866" s="2459"/>
      <c r="F866" s="2460"/>
      <c r="G866" s="1432">
        <f>ROUNDUP(G838+G839+G840+G841+G842+G843+G844+G845+G846+G847+G848+G849,2)</f>
        <v>205.01</v>
      </c>
    </row>
    <row r="867" spans="1:7">
      <c r="A867" s="2509"/>
      <c r="B867" s="2517"/>
      <c r="C867" s="2472" t="s">
        <v>1888</v>
      </c>
      <c r="D867" s="2473"/>
      <c r="E867" s="2473"/>
      <c r="F867" s="2474"/>
      <c r="G867" s="1433"/>
    </row>
    <row r="868" spans="1:7">
      <c r="A868" s="2518"/>
      <c r="B868" s="2519"/>
      <c r="C868" s="2458" t="s">
        <v>310</v>
      </c>
      <c r="D868" s="2459"/>
      <c r="E868" s="2459"/>
      <c r="F868" s="2460"/>
      <c r="G868" s="1432">
        <f>ROUNDUP(G852+G858+G859+G853+G854+G856+G857+G860,2)</f>
        <v>193.92999999999998</v>
      </c>
    </row>
    <row r="869" spans="1:7" ht="15.75" thickBot="1">
      <c r="A869" s="2533" t="s">
        <v>325</v>
      </c>
      <c r="B869" s="2534"/>
      <c r="C869" s="2534"/>
      <c r="D869" s="2534"/>
      <c r="E869" s="2534"/>
      <c r="F869" s="2535"/>
      <c r="G869" s="1434">
        <f>ROUNDUP(G864+G866+G868,2)</f>
        <v>447.85</v>
      </c>
    </row>
    <row r="870" spans="1:7" ht="15.75" thickBot="1">
      <c r="A870" s="1345"/>
      <c r="B870" s="1346"/>
      <c r="C870" s="1346"/>
      <c r="D870" s="1346"/>
      <c r="E870" s="1346"/>
      <c r="F870" s="1346"/>
      <c r="G870" s="1347"/>
    </row>
    <row r="871" spans="1:7" ht="15.75" thickBot="1">
      <c r="A871" s="1299" t="s">
        <v>90</v>
      </c>
      <c r="B871" s="2366" t="s">
        <v>2050</v>
      </c>
      <c r="C871" s="2367"/>
      <c r="D871" s="2367"/>
      <c r="E871" s="2367"/>
      <c r="F871" s="2367"/>
      <c r="G871" s="2368"/>
    </row>
    <row r="872" spans="1:7">
      <c r="A872" s="2369" t="s">
        <v>2044</v>
      </c>
      <c r="B872" s="2370"/>
      <c r="C872" s="2370"/>
      <c r="D872" s="2370"/>
      <c r="E872" s="2370"/>
      <c r="F872" s="2370"/>
      <c r="G872" s="2371"/>
    </row>
    <row r="873" spans="1:7">
      <c r="A873" s="2372" t="s">
        <v>2045</v>
      </c>
      <c r="B873" s="2373"/>
      <c r="C873" s="2373"/>
      <c r="D873" s="2373"/>
      <c r="E873" s="2373"/>
      <c r="F873" s="2373"/>
      <c r="G873" s="2374"/>
    </row>
    <row r="874" spans="1:7">
      <c r="A874" s="1313" t="s">
        <v>321</v>
      </c>
      <c r="B874" s="1314" t="s">
        <v>321</v>
      </c>
      <c r="C874" s="1314" t="s">
        <v>1744</v>
      </c>
      <c r="D874" s="1314" t="s">
        <v>324</v>
      </c>
      <c r="E874" s="1314" t="s">
        <v>1745</v>
      </c>
      <c r="F874" s="1314" t="s">
        <v>1746</v>
      </c>
      <c r="G874" s="1370" t="s">
        <v>1747</v>
      </c>
    </row>
    <row r="875" spans="1:7">
      <c r="A875" s="2442" t="s">
        <v>1859</v>
      </c>
      <c r="B875" s="2443"/>
      <c r="C875" s="2443"/>
      <c r="D875" s="2443"/>
      <c r="E875" s="2443"/>
      <c r="F875" s="2443"/>
      <c r="G875" s="2444"/>
    </row>
    <row r="876" spans="1:7">
      <c r="A876" s="1328" t="s">
        <v>1860</v>
      </c>
      <c r="B876" s="1307">
        <v>1.5</v>
      </c>
      <c r="C876" s="1307">
        <v>2.8</v>
      </c>
      <c r="D876" s="1307">
        <f t="shared" ref="D876:D883" si="36">B876*C876</f>
        <v>4.1999999999999993</v>
      </c>
      <c r="E876" s="1307"/>
      <c r="F876" s="1307"/>
      <c r="G876" s="1373">
        <f t="shared" ref="G876:G883" si="37">D876-F876</f>
        <v>4.1999999999999993</v>
      </c>
    </row>
    <row r="877" spans="1:7">
      <c r="A877" s="1328" t="s">
        <v>1861</v>
      </c>
      <c r="B877" s="1427">
        <v>1.95</v>
      </c>
      <c r="C877" s="1307">
        <v>2.8</v>
      </c>
      <c r="D877" s="1307">
        <f t="shared" si="36"/>
        <v>5.46</v>
      </c>
      <c r="E877" s="1372" t="s">
        <v>1862</v>
      </c>
      <c r="F877" s="1307">
        <f>0.8*2.1</f>
        <v>1.6800000000000002</v>
      </c>
      <c r="G877" s="1373">
        <f t="shared" si="37"/>
        <v>3.78</v>
      </c>
    </row>
    <row r="878" spans="1:7" ht="36">
      <c r="A878" s="1328" t="s">
        <v>1863</v>
      </c>
      <c r="B878" s="1307">
        <f>1.05+2.85+3.85+1.85+1.08+2</f>
        <v>12.68</v>
      </c>
      <c r="C878" s="1307">
        <v>0.7</v>
      </c>
      <c r="D878" s="1307">
        <f t="shared" si="36"/>
        <v>8.8759999999999994</v>
      </c>
      <c r="E878" s="1307"/>
      <c r="F878" s="1307"/>
      <c r="G878" s="1373">
        <f t="shared" si="37"/>
        <v>8.8759999999999994</v>
      </c>
    </row>
    <row r="879" spans="1:7" ht="36">
      <c r="A879" s="1328" t="s">
        <v>1864</v>
      </c>
      <c r="B879" s="1307">
        <f>1.05+2.85+3.85+1.85+1.08+2</f>
        <v>12.68</v>
      </c>
      <c r="C879" s="1307">
        <v>0.7</v>
      </c>
      <c r="D879" s="1307">
        <f t="shared" si="36"/>
        <v>8.8759999999999994</v>
      </c>
      <c r="E879" s="1307"/>
      <c r="F879" s="1307"/>
      <c r="G879" s="1373">
        <f t="shared" si="37"/>
        <v>8.8759999999999994</v>
      </c>
    </row>
    <row r="880" spans="1:7" ht="24">
      <c r="A880" s="1328" t="s">
        <v>1903</v>
      </c>
      <c r="B880" s="1307">
        <f>1.85+1.65+1.85+1.65</f>
        <v>7</v>
      </c>
      <c r="C880" s="1307">
        <v>0.7</v>
      </c>
      <c r="D880" s="1307">
        <f t="shared" si="36"/>
        <v>4.8999999999999995</v>
      </c>
      <c r="E880" s="1307"/>
      <c r="F880" s="1307"/>
      <c r="G880" s="1373">
        <f t="shared" si="37"/>
        <v>4.8999999999999995</v>
      </c>
    </row>
    <row r="881" spans="1:7" ht="24">
      <c r="A881" s="1328" t="s">
        <v>1904</v>
      </c>
      <c r="B881" s="1307">
        <f>1.85+1.65+1.85+1.65</f>
        <v>7</v>
      </c>
      <c r="C881" s="1307">
        <v>0.7</v>
      </c>
      <c r="D881" s="1307">
        <f t="shared" si="36"/>
        <v>4.8999999999999995</v>
      </c>
      <c r="E881" s="1307"/>
      <c r="F881" s="1307"/>
      <c r="G881" s="1373">
        <f t="shared" si="37"/>
        <v>4.8999999999999995</v>
      </c>
    </row>
    <row r="882" spans="1:7">
      <c r="A882" s="1328" t="s">
        <v>1868</v>
      </c>
      <c r="B882" s="1307">
        <f>1.35+1.35+2.35+2.35</f>
        <v>7.4</v>
      </c>
      <c r="C882" s="1307">
        <v>0.7</v>
      </c>
      <c r="D882" s="1307">
        <f t="shared" si="36"/>
        <v>5.18</v>
      </c>
      <c r="E882" s="1307"/>
      <c r="F882" s="1307"/>
      <c r="G882" s="1373">
        <f t="shared" si="37"/>
        <v>5.18</v>
      </c>
    </row>
    <row r="883" spans="1:7">
      <c r="A883" s="1328" t="s">
        <v>1869</v>
      </c>
      <c r="B883" s="1307">
        <f>3.85+3.85+2+2</f>
        <v>11.7</v>
      </c>
      <c r="C883" s="1307">
        <v>0.7</v>
      </c>
      <c r="D883" s="1307">
        <f t="shared" si="36"/>
        <v>8.19</v>
      </c>
      <c r="E883" s="1307"/>
      <c r="F883" s="1307"/>
      <c r="G883" s="1373">
        <f t="shared" si="37"/>
        <v>8.19</v>
      </c>
    </row>
    <row r="884" spans="1:7">
      <c r="A884" s="2520"/>
      <c r="B884" s="2503"/>
      <c r="C884" s="2503"/>
      <c r="D884" s="2503"/>
      <c r="E884" s="2503"/>
      <c r="F884" s="2503"/>
      <c r="G884" s="2504"/>
    </row>
    <row r="885" spans="1:7">
      <c r="A885" s="2442" t="s">
        <v>1870</v>
      </c>
      <c r="B885" s="2443"/>
      <c r="C885" s="2443"/>
      <c r="D885" s="2443"/>
      <c r="E885" s="2443"/>
      <c r="F885" s="2443"/>
      <c r="G885" s="2444"/>
    </row>
    <row r="886" spans="1:7">
      <c r="A886" s="1328" t="s">
        <v>1871</v>
      </c>
      <c r="B886" s="1307">
        <v>3.5</v>
      </c>
      <c r="C886" s="1307">
        <v>2.8</v>
      </c>
      <c r="D886" s="1307">
        <f t="shared" ref="D886:D897" si="38">B886*C886</f>
        <v>9.7999999999999989</v>
      </c>
      <c r="E886" s="1372" t="s">
        <v>1862</v>
      </c>
      <c r="F886" s="1307">
        <f>0.8*2.1</f>
        <v>1.6800000000000002</v>
      </c>
      <c r="G886" s="1373">
        <f t="shared" ref="G886:G897" si="39">D886-F886</f>
        <v>8.1199999999999992</v>
      </c>
    </row>
    <row r="887" spans="1:7" ht="24">
      <c r="A887" s="1328" t="s">
        <v>1872</v>
      </c>
      <c r="B887" s="1307">
        <f>3.15+3.5</f>
        <v>6.65</v>
      </c>
      <c r="C887" s="1307">
        <v>2.8</v>
      </c>
      <c r="D887" s="1307">
        <f t="shared" si="38"/>
        <v>18.62</v>
      </c>
      <c r="E887" s="1372" t="s">
        <v>1873</v>
      </c>
      <c r="F887" s="1307">
        <f>(0.8*2.1)+(1.1*0.6*2)</f>
        <v>3</v>
      </c>
      <c r="G887" s="1373">
        <f t="shared" si="39"/>
        <v>15.620000000000001</v>
      </c>
    </row>
    <row r="888" spans="1:7">
      <c r="A888" s="1328" t="s">
        <v>1874</v>
      </c>
      <c r="B888" s="1307">
        <f>3.35+3.15</f>
        <v>6.5</v>
      </c>
      <c r="C888" s="1307">
        <v>2.8</v>
      </c>
      <c r="D888" s="1307">
        <f t="shared" si="38"/>
        <v>18.2</v>
      </c>
      <c r="E888" s="1307"/>
      <c r="F888" s="1307"/>
      <c r="G888" s="1373">
        <f t="shared" si="39"/>
        <v>18.2</v>
      </c>
    </row>
    <row r="889" spans="1:7" ht="24">
      <c r="A889" s="1328" t="s">
        <v>1875</v>
      </c>
      <c r="B889" s="1307">
        <v>8</v>
      </c>
      <c r="C889" s="1307">
        <v>2.8</v>
      </c>
      <c r="D889" s="1307">
        <f t="shared" si="38"/>
        <v>22.4</v>
      </c>
      <c r="E889" s="1372" t="s">
        <v>1876</v>
      </c>
      <c r="F889" s="1307">
        <f>(2.2*1.1)+(0.8*2.1)</f>
        <v>4.1000000000000005</v>
      </c>
      <c r="G889" s="1373">
        <f t="shared" si="39"/>
        <v>18.299999999999997</v>
      </c>
    </row>
    <row r="890" spans="1:7">
      <c r="A890" s="1328" t="s">
        <v>1875</v>
      </c>
      <c r="B890" s="1307">
        <v>8</v>
      </c>
      <c r="C890" s="1307">
        <v>2.8</v>
      </c>
      <c r="D890" s="1307">
        <f t="shared" si="38"/>
        <v>22.4</v>
      </c>
      <c r="E890" s="1307"/>
      <c r="F890" s="1307"/>
      <c r="G890" s="1373">
        <f t="shared" si="39"/>
        <v>22.4</v>
      </c>
    </row>
    <row r="891" spans="1:7">
      <c r="A891" s="1328" t="s">
        <v>1877</v>
      </c>
      <c r="B891" s="1307">
        <v>3.5</v>
      </c>
      <c r="C891" s="1307">
        <v>2.8</v>
      </c>
      <c r="D891" s="1307">
        <f t="shared" si="38"/>
        <v>9.7999999999999989</v>
      </c>
      <c r="E891" s="1372" t="s">
        <v>1878</v>
      </c>
      <c r="F891" s="1307">
        <f>2.2*1.1</f>
        <v>2.4200000000000004</v>
      </c>
      <c r="G891" s="1373">
        <f t="shared" si="39"/>
        <v>7.379999999999999</v>
      </c>
    </row>
    <row r="892" spans="1:7">
      <c r="A892" s="1328" t="s">
        <v>1879</v>
      </c>
      <c r="B892" s="1307">
        <f>2.55+2</f>
        <v>4.55</v>
      </c>
      <c r="C892" s="1307">
        <v>2.8</v>
      </c>
      <c r="D892" s="1307">
        <f t="shared" si="38"/>
        <v>12.739999999999998</v>
      </c>
      <c r="E892" s="1307"/>
      <c r="F892" s="1307"/>
      <c r="G892" s="1373">
        <f t="shared" si="39"/>
        <v>12.739999999999998</v>
      </c>
    </row>
    <row r="893" spans="1:7" ht="24">
      <c r="A893" s="1428" t="s">
        <v>1880</v>
      </c>
      <c r="B893" s="1429">
        <v>4</v>
      </c>
      <c r="C893" s="1406">
        <v>2.8</v>
      </c>
      <c r="D893" s="1406">
        <f t="shared" si="38"/>
        <v>11.2</v>
      </c>
      <c r="E893" s="1430" t="s">
        <v>1881</v>
      </c>
      <c r="F893" s="1406">
        <f>(1.3*2.1)+(2.3*1.1)</f>
        <v>5.26</v>
      </c>
      <c r="G893" s="1431">
        <f t="shared" si="39"/>
        <v>5.9399999999999995</v>
      </c>
    </row>
    <row r="894" spans="1:7" ht="24">
      <c r="A894" s="1428" t="s">
        <v>1882</v>
      </c>
      <c r="B894" s="1429">
        <f>2.15+1.35+1.5</f>
        <v>5</v>
      </c>
      <c r="C894" s="1406">
        <v>5.23</v>
      </c>
      <c r="D894" s="1406">
        <f t="shared" si="38"/>
        <v>26.150000000000002</v>
      </c>
      <c r="E894" s="1430" t="s">
        <v>1883</v>
      </c>
      <c r="F894" s="1406">
        <f>1.2*1.1+(0.8*2.1)+(0.9*2.1)</f>
        <v>4.8900000000000006</v>
      </c>
      <c r="G894" s="1431">
        <f t="shared" si="39"/>
        <v>21.26</v>
      </c>
    </row>
    <row r="895" spans="1:7">
      <c r="A895" s="1428" t="s">
        <v>1884</v>
      </c>
      <c r="B895" s="1429">
        <v>1.5</v>
      </c>
      <c r="C895" s="1406">
        <v>5.23</v>
      </c>
      <c r="D895" s="1406">
        <f t="shared" si="38"/>
        <v>7.8450000000000006</v>
      </c>
      <c r="E895" s="1406"/>
      <c r="F895" s="1406"/>
      <c r="G895" s="1431">
        <f t="shared" si="39"/>
        <v>7.8450000000000006</v>
      </c>
    </row>
    <row r="896" spans="1:7" ht="24">
      <c r="A896" s="1428" t="s">
        <v>1885</v>
      </c>
      <c r="B896" s="1429">
        <f>4.6+9.6</f>
        <v>14.2</v>
      </c>
      <c r="C896" s="1406">
        <v>4.7300000000000004</v>
      </c>
      <c r="D896" s="1406">
        <f t="shared" si="38"/>
        <v>67.165999999999997</v>
      </c>
      <c r="E896" s="1430" t="s">
        <v>1886</v>
      </c>
      <c r="F896" s="1406">
        <f>2.3*1.1*2+(0.8*2.1)+(1*2.1)</f>
        <v>8.84</v>
      </c>
      <c r="G896" s="1431">
        <f t="shared" si="39"/>
        <v>58.325999999999993</v>
      </c>
    </row>
    <row r="897" spans="1:7">
      <c r="A897" s="1428" t="s">
        <v>1887</v>
      </c>
      <c r="B897" s="1429">
        <v>4.5999999999999996</v>
      </c>
      <c r="C897" s="1406">
        <v>1.93</v>
      </c>
      <c r="D897" s="1406">
        <f t="shared" si="38"/>
        <v>8.8779999999999983</v>
      </c>
      <c r="E897" s="1406"/>
      <c r="F897" s="1406"/>
      <c r="G897" s="1431">
        <f t="shared" si="39"/>
        <v>8.8779999999999983</v>
      </c>
    </row>
    <row r="898" spans="1:7">
      <c r="A898" s="2520"/>
      <c r="B898" s="2503"/>
      <c r="C898" s="2503"/>
      <c r="D898" s="2503"/>
      <c r="E898" s="2503"/>
      <c r="F898" s="2503"/>
      <c r="G898" s="2504"/>
    </row>
    <row r="899" spans="1:7">
      <c r="A899" s="2442" t="s">
        <v>1888</v>
      </c>
      <c r="B899" s="2443"/>
      <c r="C899" s="2443"/>
      <c r="D899" s="2443"/>
      <c r="E899" s="2443"/>
      <c r="F899" s="2443"/>
      <c r="G899" s="2444"/>
    </row>
    <row r="900" spans="1:7" ht="24">
      <c r="A900" s="1328" t="s">
        <v>1889</v>
      </c>
      <c r="B900" s="1376">
        <f>7.5+4.65</f>
        <v>12.15</v>
      </c>
      <c r="C900" s="1307">
        <v>2.8</v>
      </c>
      <c r="D900" s="1307">
        <f t="shared" ref="D900:D908" si="40">B900*C900</f>
        <v>34.019999999999996</v>
      </c>
      <c r="E900" s="1372" t="s">
        <v>1890</v>
      </c>
      <c r="F900" s="1307">
        <f>(1.6*2.1)+(3*1.1*0.6)</f>
        <v>5.34</v>
      </c>
      <c r="G900" s="1373">
        <f t="shared" ref="G900:G908" si="41">D900-F900</f>
        <v>28.679999999999996</v>
      </c>
    </row>
    <row r="901" spans="1:7">
      <c r="A901" s="1328" t="s">
        <v>1889</v>
      </c>
      <c r="B901" s="1376">
        <f>7.5+4.65</f>
        <v>12.15</v>
      </c>
      <c r="C901" s="1307">
        <v>2.8</v>
      </c>
      <c r="D901" s="1307">
        <f t="shared" si="40"/>
        <v>34.019999999999996</v>
      </c>
      <c r="E901" s="1307"/>
      <c r="F901" s="1307"/>
      <c r="G901" s="1373">
        <f t="shared" si="41"/>
        <v>34.019999999999996</v>
      </c>
    </row>
    <row r="902" spans="1:7" ht="24">
      <c r="A902" s="1328" t="s">
        <v>1891</v>
      </c>
      <c r="B902" s="1427">
        <f>8.85+10.35</f>
        <v>19.2</v>
      </c>
      <c r="C902" s="1307">
        <v>2.8</v>
      </c>
      <c r="D902" s="1307">
        <f t="shared" si="40"/>
        <v>53.76</v>
      </c>
      <c r="E902" s="1372" t="s">
        <v>1892</v>
      </c>
      <c r="F902" s="1307">
        <f>2.3*1.1*5</f>
        <v>12.649999999999999</v>
      </c>
      <c r="G902" s="1373">
        <f t="shared" si="41"/>
        <v>41.11</v>
      </c>
    </row>
    <row r="903" spans="1:7">
      <c r="A903" s="1328" t="s">
        <v>1893</v>
      </c>
      <c r="B903" s="1427">
        <f>4.65+4</f>
        <v>8.65</v>
      </c>
      <c r="C903" s="1307">
        <v>2.8</v>
      </c>
      <c r="D903" s="1307">
        <f t="shared" si="40"/>
        <v>24.22</v>
      </c>
      <c r="E903" s="1307"/>
      <c r="F903" s="1307"/>
      <c r="G903" s="1373">
        <f t="shared" si="41"/>
        <v>24.22</v>
      </c>
    </row>
    <row r="904" spans="1:7">
      <c r="A904" s="1328" t="s">
        <v>1894</v>
      </c>
      <c r="B904" s="1427">
        <v>5.5</v>
      </c>
      <c r="C904" s="1307">
        <v>2.8</v>
      </c>
      <c r="D904" s="1307">
        <f t="shared" si="40"/>
        <v>15.399999999999999</v>
      </c>
      <c r="E904" s="1372" t="s">
        <v>1895</v>
      </c>
      <c r="F904" s="1307">
        <f>2.3*1.1</f>
        <v>2.5299999999999998</v>
      </c>
      <c r="G904" s="1373">
        <f t="shared" si="41"/>
        <v>12.87</v>
      </c>
    </row>
    <row r="905" spans="1:7">
      <c r="A905" s="1328" t="s">
        <v>1896</v>
      </c>
      <c r="B905" s="1427">
        <v>4.5</v>
      </c>
      <c r="C905" s="1307">
        <v>2.8</v>
      </c>
      <c r="D905" s="1307">
        <f t="shared" si="40"/>
        <v>12.6</v>
      </c>
      <c r="E905" s="1307"/>
      <c r="F905" s="1307"/>
      <c r="G905" s="1373">
        <f t="shared" si="41"/>
        <v>12.6</v>
      </c>
    </row>
    <row r="906" spans="1:7">
      <c r="A906" s="1428" t="s">
        <v>1897</v>
      </c>
      <c r="B906" s="1429">
        <v>5</v>
      </c>
      <c r="C906" s="1406">
        <v>2.8</v>
      </c>
      <c r="D906" s="1406">
        <f t="shared" si="40"/>
        <v>14</v>
      </c>
      <c r="E906" s="1406"/>
      <c r="F906" s="1406"/>
      <c r="G906" s="1431">
        <f t="shared" si="41"/>
        <v>14</v>
      </c>
    </row>
    <row r="907" spans="1:7">
      <c r="A907" s="1428" t="s">
        <v>1898</v>
      </c>
      <c r="B907" s="1429">
        <v>9</v>
      </c>
      <c r="C907" s="1406">
        <v>2.8</v>
      </c>
      <c r="D907" s="1406">
        <f t="shared" si="40"/>
        <v>25.2</v>
      </c>
      <c r="E907" s="1406"/>
      <c r="F907" s="1406"/>
      <c r="G907" s="1431">
        <f t="shared" si="41"/>
        <v>25.2</v>
      </c>
    </row>
    <row r="908" spans="1:7">
      <c r="A908" s="1428" t="s">
        <v>1899</v>
      </c>
      <c r="B908" s="1429">
        <v>6.15</v>
      </c>
      <c r="C908" s="1406">
        <v>5.23</v>
      </c>
      <c r="D908" s="1406">
        <f t="shared" si="40"/>
        <v>32.164500000000004</v>
      </c>
      <c r="E908" s="1430" t="s">
        <v>2046</v>
      </c>
      <c r="F908" s="1406">
        <f>0.8*2.1*4</f>
        <v>6.7200000000000006</v>
      </c>
      <c r="G908" s="1431">
        <f t="shared" si="41"/>
        <v>25.444500000000005</v>
      </c>
    </row>
    <row r="909" spans="1:7">
      <c r="A909" s="2520"/>
      <c r="B909" s="2503"/>
      <c r="C909" s="2503"/>
      <c r="D909" s="2503"/>
      <c r="E909" s="2503"/>
      <c r="F909" s="2503"/>
      <c r="G909" s="2504"/>
    </row>
    <row r="910" spans="1:7">
      <c r="A910" s="2466" t="s">
        <v>2051</v>
      </c>
      <c r="B910" s="2430"/>
      <c r="C910" s="2430"/>
      <c r="D910" s="2430"/>
      <c r="E910" s="2430"/>
      <c r="F910" s="2430"/>
      <c r="G910" s="2431"/>
    </row>
    <row r="911" spans="1:7">
      <c r="A911" s="2515"/>
      <c r="B911" s="2516"/>
      <c r="C911" s="2472" t="s">
        <v>1859</v>
      </c>
      <c r="D911" s="2473"/>
      <c r="E911" s="2473"/>
      <c r="F911" s="2474"/>
      <c r="G911" s="1373"/>
    </row>
    <row r="912" spans="1:7">
      <c r="A912" s="2509"/>
      <c r="B912" s="2517"/>
      <c r="C912" s="2458" t="s">
        <v>310</v>
      </c>
      <c r="D912" s="2459"/>
      <c r="E912" s="2459"/>
      <c r="F912" s="2460"/>
      <c r="G912" s="1432">
        <f>ROUNDUP(G876+G877+G878+G879+G880+G881+G882+G883,2)</f>
        <v>48.91</v>
      </c>
    </row>
    <row r="913" spans="1:7">
      <c r="A913" s="2509"/>
      <c r="B913" s="2517"/>
      <c r="C913" s="2472" t="s">
        <v>1870</v>
      </c>
      <c r="D913" s="2473"/>
      <c r="E913" s="2473"/>
      <c r="F913" s="2474"/>
      <c r="G913" s="1433"/>
    </row>
    <row r="914" spans="1:7">
      <c r="A914" s="2509"/>
      <c r="B914" s="2517"/>
      <c r="C914" s="2458" t="s">
        <v>310</v>
      </c>
      <c r="D914" s="2459"/>
      <c r="E914" s="2459"/>
      <c r="F914" s="2460"/>
      <c r="G914" s="1432">
        <f>ROUNDUP(G886+G887+G888+G889+G890+G891+G892+G893+G894+G895+G896+G897,2)</f>
        <v>205.01</v>
      </c>
    </row>
    <row r="915" spans="1:7">
      <c r="A915" s="2509"/>
      <c r="B915" s="2517"/>
      <c r="C915" s="2472" t="s">
        <v>1888</v>
      </c>
      <c r="D915" s="2473"/>
      <c r="E915" s="2473"/>
      <c r="F915" s="2474"/>
      <c r="G915" s="1433"/>
    </row>
    <row r="916" spans="1:7">
      <c r="A916" s="2518"/>
      <c r="B916" s="2519"/>
      <c r="C916" s="2458" t="s">
        <v>310</v>
      </c>
      <c r="D916" s="2459"/>
      <c r="E916" s="2459"/>
      <c r="F916" s="2460"/>
      <c r="G916" s="1432">
        <f>ROUNDUP(G900+G906+G907+G901+G902+G904+G905+G908,2)</f>
        <v>193.92999999999998</v>
      </c>
    </row>
    <row r="917" spans="1:7" ht="15.75" thickBot="1">
      <c r="A917" s="2533" t="s">
        <v>325</v>
      </c>
      <c r="B917" s="2534"/>
      <c r="C917" s="2534"/>
      <c r="D917" s="2534"/>
      <c r="E917" s="2534"/>
      <c r="F917" s="2535"/>
      <c r="G917" s="1434">
        <f>ROUNDUP(G912+G914+G916,2)</f>
        <v>447.85</v>
      </c>
    </row>
    <row r="918" spans="1:7" ht="15.75" thickBot="1">
      <c r="A918" s="1345"/>
      <c r="B918" s="1346"/>
      <c r="C918" s="1346"/>
      <c r="D918" s="1346"/>
      <c r="E918" s="1346"/>
      <c r="F918" s="1346"/>
      <c r="G918" s="1347"/>
    </row>
    <row r="919" spans="1:7" ht="15.75" thickBot="1">
      <c r="A919" s="1299" t="s">
        <v>179</v>
      </c>
      <c r="B919" s="2366" t="s">
        <v>2052</v>
      </c>
      <c r="C919" s="2367"/>
      <c r="D919" s="2367"/>
      <c r="E919" s="2367"/>
      <c r="F919" s="2367"/>
      <c r="G919" s="2368"/>
    </row>
    <row r="920" spans="1:7">
      <c r="A920" s="2435" t="s">
        <v>1960</v>
      </c>
      <c r="B920" s="2436"/>
      <c r="C920" s="2436"/>
      <c r="D920" s="2436"/>
      <c r="E920" s="2436"/>
      <c r="F920" s="2436"/>
      <c r="G920" s="2437"/>
    </row>
    <row r="921" spans="1:7">
      <c r="A921" s="2372" t="s">
        <v>1961</v>
      </c>
      <c r="B921" s="2373"/>
      <c r="C921" s="2373"/>
      <c r="D921" s="2373"/>
      <c r="E921" s="2373"/>
      <c r="F921" s="2373"/>
      <c r="G921" s="2374"/>
    </row>
    <row r="922" spans="1:7">
      <c r="A922" s="2466" t="s">
        <v>1811</v>
      </c>
      <c r="B922" s="2448"/>
      <c r="C922" s="1314" t="s">
        <v>321</v>
      </c>
      <c r="D922" s="1314" t="s">
        <v>308</v>
      </c>
      <c r="E922" s="2429" t="s">
        <v>309</v>
      </c>
      <c r="F922" s="2430"/>
      <c r="G922" s="2431"/>
    </row>
    <row r="923" spans="1:7">
      <c r="A923" s="2491" t="s">
        <v>1962</v>
      </c>
      <c r="B923" s="2492"/>
      <c r="C923" s="1406">
        <v>24.3</v>
      </c>
      <c r="D923" s="1407">
        <v>34.869999999999997</v>
      </c>
      <c r="E923" s="2493"/>
      <c r="F923" s="2494"/>
      <c r="G923" s="2495"/>
    </row>
    <row r="924" spans="1:7">
      <c r="A924" s="2491" t="s">
        <v>1964</v>
      </c>
      <c r="B924" s="2492"/>
      <c r="C924" s="1406">
        <v>35.700000000000003</v>
      </c>
      <c r="D924" s="1407">
        <v>72.37</v>
      </c>
      <c r="E924" s="2570"/>
      <c r="F924" s="2584"/>
      <c r="G924" s="2571"/>
    </row>
    <row r="925" spans="1:7">
      <c r="A925" s="2491" t="s">
        <v>1965</v>
      </c>
      <c r="B925" s="2492"/>
      <c r="C925" s="1406">
        <v>13</v>
      </c>
      <c r="D925" s="1407">
        <v>10.55</v>
      </c>
      <c r="E925" s="2570"/>
      <c r="F925" s="2584"/>
      <c r="G925" s="2571"/>
    </row>
    <row r="926" spans="1:7">
      <c r="A926" s="2491" t="s">
        <v>1966</v>
      </c>
      <c r="B926" s="2492"/>
      <c r="C926" s="1406">
        <v>16</v>
      </c>
      <c r="D926" s="1407">
        <v>16</v>
      </c>
      <c r="E926" s="2570"/>
      <c r="F926" s="2584"/>
      <c r="G926" s="2571"/>
    </row>
    <row r="927" spans="1:7">
      <c r="A927" s="2491" t="s">
        <v>1967</v>
      </c>
      <c r="B927" s="2492"/>
      <c r="C927" s="1406">
        <v>20</v>
      </c>
      <c r="D927" s="1407">
        <v>19.64</v>
      </c>
      <c r="E927" s="2570"/>
      <c r="F927" s="2584"/>
      <c r="G927" s="2571"/>
    </row>
    <row r="928" spans="1:7">
      <c r="A928" s="2491" t="s">
        <v>1968</v>
      </c>
      <c r="B928" s="2492"/>
      <c r="C928" s="1406">
        <v>18</v>
      </c>
      <c r="D928" s="1407">
        <v>20</v>
      </c>
      <c r="E928" s="2570"/>
      <c r="F928" s="2584"/>
      <c r="G928" s="2571"/>
    </row>
    <row r="929" spans="1:7">
      <c r="A929" s="2491" t="s">
        <v>1969</v>
      </c>
      <c r="B929" s="2492"/>
      <c r="C929" s="1406">
        <v>11.7</v>
      </c>
      <c r="D929" s="1407">
        <v>7.7</v>
      </c>
      <c r="E929" s="2570"/>
      <c r="F929" s="2584"/>
      <c r="G929" s="2571"/>
    </row>
    <row r="930" spans="1:7">
      <c r="A930" s="2491" t="s">
        <v>1970</v>
      </c>
      <c r="B930" s="2492"/>
      <c r="C930" s="1406">
        <v>7.4</v>
      </c>
      <c r="D930" s="1407">
        <v>3.18</v>
      </c>
      <c r="E930" s="2570"/>
      <c r="F930" s="2584"/>
      <c r="G930" s="2571"/>
    </row>
    <row r="931" spans="1:7">
      <c r="A931" s="2491" t="s">
        <v>1971</v>
      </c>
      <c r="B931" s="2492"/>
      <c r="C931" s="1406">
        <v>13.39</v>
      </c>
      <c r="D931" s="1407">
        <v>7.68</v>
      </c>
      <c r="E931" s="2570"/>
      <c r="F931" s="2584"/>
      <c r="G931" s="2571"/>
    </row>
    <row r="932" spans="1:7">
      <c r="A932" s="2491" t="s">
        <v>1972</v>
      </c>
      <c r="B932" s="2492"/>
      <c r="C932" s="1406">
        <v>3.05</v>
      </c>
      <c r="D932" s="1407">
        <v>2.78</v>
      </c>
      <c r="E932" s="2570"/>
      <c r="F932" s="2584"/>
      <c r="G932" s="2571"/>
    </row>
    <row r="933" spans="1:7">
      <c r="A933" s="2491" t="s">
        <v>1973</v>
      </c>
      <c r="B933" s="2492"/>
      <c r="C933" s="1406">
        <v>3.05</v>
      </c>
      <c r="D933" s="1407">
        <v>7.68</v>
      </c>
      <c r="E933" s="2570"/>
      <c r="F933" s="2584"/>
      <c r="G933" s="2571"/>
    </row>
    <row r="934" spans="1:7">
      <c r="A934" s="2491" t="s">
        <v>1974</v>
      </c>
      <c r="B934" s="2492"/>
      <c r="C934" s="1406">
        <v>13.39</v>
      </c>
      <c r="D934" s="1407">
        <v>2.78</v>
      </c>
      <c r="E934" s="2570"/>
      <c r="F934" s="2584"/>
      <c r="G934" s="2571"/>
    </row>
    <row r="935" spans="1:7">
      <c r="A935" s="2491" t="s">
        <v>1812</v>
      </c>
      <c r="B935" s="2492"/>
      <c r="C935" s="1406">
        <v>36.450000000000003</v>
      </c>
      <c r="D935" s="1407">
        <v>33.979999999999997</v>
      </c>
      <c r="E935" s="2570"/>
      <c r="F935" s="2584"/>
      <c r="G935" s="2571"/>
    </row>
    <row r="936" spans="1:7">
      <c r="A936" s="2547" t="s">
        <v>2053</v>
      </c>
      <c r="B936" s="2393"/>
      <c r="C936" s="1406">
        <v>13.3</v>
      </c>
      <c r="D936" s="1407">
        <v>10.61</v>
      </c>
      <c r="E936" s="2570"/>
      <c r="F936" s="2584"/>
      <c r="G936" s="2571"/>
    </row>
    <row r="937" spans="1:7">
      <c r="A937" s="2491" t="s">
        <v>2054</v>
      </c>
      <c r="B937" s="2492"/>
      <c r="C937" s="1406">
        <f>36.45+0.8+0.8</f>
        <v>38.049999999999997</v>
      </c>
      <c r="D937" s="1407">
        <f>38.05*0.2</f>
        <v>7.6099999999999994</v>
      </c>
      <c r="E937" s="2570"/>
      <c r="F937" s="2584"/>
      <c r="G937" s="2571"/>
    </row>
    <row r="938" spans="1:7" ht="15.75" thickBot="1">
      <c r="A938" s="1408"/>
      <c r="B938" s="1409"/>
      <c r="C938" s="1410" t="s">
        <v>310</v>
      </c>
      <c r="D938" s="1411">
        <f>SUM(D923:D937)</f>
        <v>257.43</v>
      </c>
      <c r="E938" s="2496"/>
      <c r="F938" s="2497"/>
      <c r="G938" s="2498"/>
    </row>
    <row r="939" spans="1:7" ht="15.75" thickBot="1">
      <c r="A939" s="1345"/>
      <c r="B939" s="1346"/>
      <c r="C939" s="1346"/>
      <c r="D939" s="1346"/>
      <c r="E939" s="1346"/>
      <c r="F939" s="1346"/>
      <c r="G939" s="1347"/>
    </row>
    <row r="940" spans="1:7" ht="15.75" thickBot="1">
      <c r="A940" s="1299" t="s">
        <v>562</v>
      </c>
      <c r="B940" s="2366" t="s">
        <v>2055</v>
      </c>
      <c r="C940" s="2367"/>
      <c r="D940" s="2367"/>
      <c r="E940" s="2367"/>
      <c r="F940" s="2367"/>
      <c r="G940" s="2368"/>
    </row>
    <row r="941" spans="1:7">
      <c r="A941" s="2435" t="s">
        <v>1960</v>
      </c>
      <c r="B941" s="2436"/>
      <c r="C941" s="2436"/>
      <c r="D941" s="2436"/>
      <c r="E941" s="2436"/>
      <c r="F941" s="2436"/>
      <c r="G941" s="2437"/>
    </row>
    <row r="942" spans="1:7">
      <c r="A942" s="2372" t="s">
        <v>1961</v>
      </c>
      <c r="B942" s="2373"/>
      <c r="C942" s="2373"/>
      <c r="D942" s="2373"/>
      <c r="E942" s="2373"/>
      <c r="F942" s="2373"/>
      <c r="G942" s="2374"/>
    </row>
    <row r="943" spans="1:7">
      <c r="A943" s="2466" t="s">
        <v>1811</v>
      </c>
      <c r="B943" s="2448"/>
      <c r="C943" s="1314" t="s">
        <v>321</v>
      </c>
      <c r="D943" s="1314" t="s">
        <v>308</v>
      </c>
      <c r="E943" s="2429" t="s">
        <v>309</v>
      </c>
      <c r="F943" s="2430"/>
      <c r="G943" s="2431"/>
    </row>
    <row r="944" spans="1:7">
      <c r="A944" s="2491" t="s">
        <v>1962</v>
      </c>
      <c r="B944" s="2492"/>
      <c r="C944" s="1406">
        <v>24.3</v>
      </c>
      <c r="D944" s="1407">
        <v>34.869999999999997</v>
      </c>
      <c r="E944" s="2493"/>
      <c r="F944" s="2494"/>
      <c r="G944" s="2495"/>
    </row>
    <row r="945" spans="1:7">
      <c r="A945" s="2491" t="s">
        <v>1964</v>
      </c>
      <c r="B945" s="2492"/>
      <c r="C945" s="1406">
        <v>35.700000000000003</v>
      </c>
      <c r="D945" s="1407">
        <v>72.37</v>
      </c>
      <c r="E945" s="2570"/>
      <c r="F945" s="2584"/>
      <c r="G945" s="2571"/>
    </row>
    <row r="946" spans="1:7">
      <c r="A946" s="2491" t="s">
        <v>1965</v>
      </c>
      <c r="B946" s="2492"/>
      <c r="C946" s="1406">
        <v>13</v>
      </c>
      <c r="D946" s="1407">
        <v>10.55</v>
      </c>
      <c r="E946" s="2570"/>
      <c r="F946" s="2584"/>
      <c r="G946" s="2571"/>
    </row>
    <row r="947" spans="1:7">
      <c r="A947" s="2491" t="s">
        <v>1966</v>
      </c>
      <c r="B947" s="2492"/>
      <c r="C947" s="1406">
        <v>16</v>
      </c>
      <c r="D947" s="1407">
        <v>16</v>
      </c>
      <c r="E947" s="2570"/>
      <c r="F947" s="2584"/>
      <c r="G947" s="2571"/>
    </row>
    <row r="948" spans="1:7">
      <c r="A948" s="2491" t="s">
        <v>1967</v>
      </c>
      <c r="B948" s="2492"/>
      <c r="C948" s="1406">
        <v>20</v>
      </c>
      <c r="D948" s="1407">
        <v>19.64</v>
      </c>
      <c r="E948" s="2570"/>
      <c r="F948" s="2584"/>
      <c r="G948" s="2571"/>
    </row>
    <row r="949" spans="1:7">
      <c r="A949" s="2491" t="s">
        <v>1968</v>
      </c>
      <c r="B949" s="2492"/>
      <c r="C949" s="1406">
        <v>18</v>
      </c>
      <c r="D949" s="1407">
        <v>20</v>
      </c>
      <c r="E949" s="2570"/>
      <c r="F949" s="2584"/>
      <c r="G949" s="2571"/>
    </row>
    <row r="950" spans="1:7">
      <c r="A950" s="2491" t="s">
        <v>1969</v>
      </c>
      <c r="B950" s="2492"/>
      <c r="C950" s="1406">
        <v>11.7</v>
      </c>
      <c r="D950" s="1407">
        <v>7.7</v>
      </c>
      <c r="E950" s="2570"/>
      <c r="F950" s="2584"/>
      <c r="G950" s="2571"/>
    </row>
    <row r="951" spans="1:7">
      <c r="A951" s="2491" t="s">
        <v>1970</v>
      </c>
      <c r="B951" s="2492"/>
      <c r="C951" s="1406">
        <v>7.4</v>
      </c>
      <c r="D951" s="1407">
        <v>3.18</v>
      </c>
      <c r="E951" s="2570"/>
      <c r="F951" s="2584"/>
      <c r="G951" s="2571"/>
    </row>
    <row r="952" spans="1:7">
      <c r="A952" s="2491" t="s">
        <v>1971</v>
      </c>
      <c r="B952" s="2492"/>
      <c r="C952" s="1406">
        <v>13.39</v>
      </c>
      <c r="D952" s="1407">
        <v>7.68</v>
      </c>
      <c r="E952" s="2570"/>
      <c r="F952" s="2584"/>
      <c r="G952" s="2571"/>
    </row>
    <row r="953" spans="1:7">
      <c r="A953" s="2491" t="s">
        <v>1972</v>
      </c>
      <c r="B953" s="2492"/>
      <c r="C953" s="1406">
        <v>3.05</v>
      </c>
      <c r="D953" s="1407">
        <v>2.78</v>
      </c>
      <c r="E953" s="2570"/>
      <c r="F953" s="2584"/>
      <c r="G953" s="2571"/>
    </row>
    <row r="954" spans="1:7">
      <c r="A954" s="2491" t="s">
        <v>1973</v>
      </c>
      <c r="B954" s="2492"/>
      <c r="C954" s="1406">
        <v>3.05</v>
      </c>
      <c r="D954" s="1407">
        <v>7.68</v>
      </c>
      <c r="E954" s="2570"/>
      <c r="F954" s="2584"/>
      <c r="G954" s="2571"/>
    </row>
    <row r="955" spans="1:7">
      <c r="A955" s="2491" t="s">
        <v>1974</v>
      </c>
      <c r="B955" s="2492"/>
      <c r="C955" s="1406">
        <v>13.39</v>
      </c>
      <c r="D955" s="1407">
        <v>2.78</v>
      </c>
      <c r="E955" s="2570"/>
      <c r="F955" s="2584"/>
      <c r="G955" s="2571"/>
    </row>
    <row r="956" spans="1:7">
      <c r="A956" s="2547" t="s">
        <v>2053</v>
      </c>
      <c r="B956" s="2393"/>
      <c r="C956" s="1406">
        <v>13.3</v>
      </c>
      <c r="D956" s="1407">
        <v>10.61</v>
      </c>
      <c r="E956" s="2570"/>
      <c r="F956" s="2584"/>
      <c r="G956" s="2571"/>
    </row>
    <row r="957" spans="1:7" ht="15.75" thickBot="1">
      <c r="A957" s="1408"/>
      <c r="B957" s="1409"/>
      <c r="C957" s="1410" t="s">
        <v>310</v>
      </c>
      <c r="D957" s="1411">
        <f>SUM(D944:D956)</f>
        <v>215.84000000000003</v>
      </c>
      <c r="E957" s="2496"/>
      <c r="F957" s="2497"/>
      <c r="G957" s="2498"/>
    </row>
    <row r="958" spans="1:7" ht="15.75" thickBot="1">
      <c r="A958" s="1345"/>
      <c r="B958" s="1346"/>
      <c r="C958" s="1346"/>
      <c r="D958" s="1346"/>
      <c r="E958" s="1346"/>
      <c r="F958" s="1346"/>
      <c r="G958" s="1347"/>
    </row>
    <row r="959" spans="1:7" ht="15.75" thickBot="1">
      <c r="A959" s="1299" t="s">
        <v>563</v>
      </c>
      <c r="B959" s="2366" t="s">
        <v>2056</v>
      </c>
      <c r="C959" s="2367"/>
      <c r="D959" s="2367"/>
      <c r="E959" s="2367"/>
      <c r="F959" s="2367"/>
      <c r="G959" s="2368"/>
    </row>
    <row r="960" spans="1:7">
      <c r="A960" s="2435" t="s">
        <v>1960</v>
      </c>
      <c r="B960" s="2436"/>
      <c r="C960" s="2436"/>
      <c r="D960" s="2436"/>
      <c r="E960" s="2436"/>
      <c r="F960" s="2436"/>
      <c r="G960" s="2437"/>
    </row>
    <row r="961" spans="1:7">
      <c r="A961" s="2372" t="s">
        <v>1961</v>
      </c>
      <c r="B961" s="2373"/>
      <c r="C961" s="2373"/>
      <c r="D961" s="2373"/>
      <c r="E961" s="2373"/>
      <c r="F961" s="2373"/>
      <c r="G961" s="2374"/>
    </row>
    <row r="962" spans="1:7">
      <c r="A962" s="2466" t="s">
        <v>1811</v>
      </c>
      <c r="B962" s="2448"/>
      <c r="C962" s="1314" t="s">
        <v>321</v>
      </c>
      <c r="D962" s="1314" t="s">
        <v>308</v>
      </c>
      <c r="E962" s="2429" t="s">
        <v>309</v>
      </c>
      <c r="F962" s="2430"/>
      <c r="G962" s="2431"/>
    </row>
    <row r="963" spans="1:7">
      <c r="A963" s="2491" t="s">
        <v>1962</v>
      </c>
      <c r="B963" s="2492"/>
      <c r="C963" s="1406">
        <v>24.3</v>
      </c>
      <c r="D963" s="1407">
        <v>34.869999999999997</v>
      </c>
      <c r="E963" s="2493"/>
      <c r="F963" s="2494"/>
      <c r="G963" s="2495"/>
    </row>
    <row r="964" spans="1:7">
      <c r="A964" s="2491" t="s">
        <v>1964</v>
      </c>
      <c r="B964" s="2492"/>
      <c r="C964" s="1406">
        <v>35.700000000000003</v>
      </c>
      <c r="D964" s="1407">
        <v>72.37</v>
      </c>
      <c r="E964" s="2570"/>
      <c r="F964" s="2584"/>
      <c r="G964" s="2571"/>
    </row>
    <row r="965" spans="1:7">
      <c r="A965" s="2491" t="s">
        <v>1965</v>
      </c>
      <c r="B965" s="2492"/>
      <c r="C965" s="1406">
        <v>13</v>
      </c>
      <c r="D965" s="1407">
        <v>10.55</v>
      </c>
      <c r="E965" s="2570"/>
      <c r="F965" s="2584"/>
      <c r="G965" s="2571"/>
    </row>
    <row r="966" spans="1:7">
      <c r="A966" s="2491" t="s">
        <v>1966</v>
      </c>
      <c r="B966" s="2492"/>
      <c r="C966" s="1406">
        <v>16</v>
      </c>
      <c r="D966" s="1407">
        <v>16</v>
      </c>
      <c r="E966" s="2570"/>
      <c r="F966" s="2584"/>
      <c r="G966" s="2571"/>
    </row>
    <row r="967" spans="1:7">
      <c r="A967" s="2491" t="s">
        <v>1967</v>
      </c>
      <c r="B967" s="2492"/>
      <c r="C967" s="1406">
        <v>20</v>
      </c>
      <c r="D967" s="1407">
        <v>19.64</v>
      </c>
      <c r="E967" s="2570"/>
      <c r="F967" s="2584"/>
      <c r="G967" s="2571"/>
    </row>
    <row r="968" spans="1:7">
      <c r="A968" s="2491" t="s">
        <v>1968</v>
      </c>
      <c r="B968" s="2492"/>
      <c r="C968" s="1406">
        <v>18</v>
      </c>
      <c r="D968" s="1407">
        <v>20</v>
      </c>
      <c r="E968" s="2570"/>
      <c r="F968" s="2584"/>
      <c r="G968" s="2571"/>
    </row>
    <row r="969" spans="1:7">
      <c r="A969" s="2491" t="s">
        <v>1969</v>
      </c>
      <c r="B969" s="2492"/>
      <c r="C969" s="1406">
        <v>11.7</v>
      </c>
      <c r="D969" s="1407">
        <v>7.7</v>
      </c>
      <c r="E969" s="2570"/>
      <c r="F969" s="2584"/>
      <c r="G969" s="2571"/>
    </row>
    <row r="970" spans="1:7">
      <c r="A970" s="2491" t="s">
        <v>1970</v>
      </c>
      <c r="B970" s="2492"/>
      <c r="C970" s="1406">
        <v>7.4</v>
      </c>
      <c r="D970" s="1407">
        <v>3.18</v>
      </c>
      <c r="E970" s="2570"/>
      <c r="F970" s="2584"/>
      <c r="G970" s="2571"/>
    </row>
    <row r="971" spans="1:7">
      <c r="A971" s="2491" t="s">
        <v>1971</v>
      </c>
      <c r="B971" s="2492"/>
      <c r="C971" s="1406">
        <v>13.39</v>
      </c>
      <c r="D971" s="1407">
        <v>7.68</v>
      </c>
      <c r="E971" s="2570"/>
      <c r="F971" s="2584"/>
      <c r="G971" s="2571"/>
    </row>
    <row r="972" spans="1:7">
      <c r="A972" s="2491" t="s">
        <v>1972</v>
      </c>
      <c r="B972" s="2492"/>
      <c r="C972" s="1406">
        <v>3.05</v>
      </c>
      <c r="D972" s="1407">
        <v>2.78</v>
      </c>
      <c r="E972" s="2570"/>
      <c r="F972" s="2584"/>
      <c r="G972" s="2571"/>
    </row>
    <row r="973" spans="1:7">
      <c r="A973" s="2491" t="s">
        <v>1973</v>
      </c>
      <c r="B973" s="2492"/>
      <c r="C973" s="1406">
        <v>3.05</v>
      </c>
      <c r="D973" s="1407">
        <v>7.68</v>
      </c>
      <c r="E973" s="2570"/>
      <c r="F973" s="2584"/>
      <c r="G973" s="2571"/>
    </row>
    <row r="974" spans="1:7">
      <c r="A974" s="2491" t="s">
        <v>1974</v>
      </c>
      <c r="B974" s="2492"/>
      <c r="C974" s="1406">
        <v>13.39</v>
      </c>
      <c r="D974" s="1407">
        <v>2.78</v>
      </c>
      <c r="E974" s="2570"/>
      <c r="F974" s="2584"/>
      <c r="G974" s="2571"/>
    </row>
    <row r="975" spans="1:7">
      <c r="A975" s="2547" t="s">
        <v>2053</v>
      </c>
      <c r="B975" s="2393"/>
      <c r="C975" s="1406">
        <v>13.3</v>
      </c>
      <c r="D975" s="1407">
        <v>10.61</v>
      </c>
      <c r="E975" s="2570"/>
      <c r="F975" s="2584"/>
      <c r="G975" s="2571"/>
    </row>
    <row r="976" spans="1:7" ht="15.75" thickBot="1">
      <c r="A976" s="1408"/>
      <c r="B976" s="1409"/>
      <c r="C976" s="1410" t="s">
        <v>310</v>
      </c>
      <c r="D976" s="1411">
        <f>SUM(D963:D975)</f>
        <v>215.84000000000003</v>
      </c>
      <c r="E976" s="2496"/>
      <c r="F976" s="2497"/>
      <c r="G976" s="2498"/>
    </row>
    <row r="977" spans="1:7" ht="15.75" thickBot="1">
      <c r="A977" s="1345"/>
      <c r="B977" s="1346"/>
      <c r="C977" s="1346"/>
      <c r="D977" s="1346"/>
      <c r="E977" s="1346"/>
      <c r="F977" s="1346"/>
      <c r="G977" s="1347"/>
    </row>
    <row r="978" spans="1:7" ht="15.75" thickBot="1">
      <c r="A978" s="1299" t="s">
        <v>564</v>
      </c>
      <c r="B978" s="2366" t="s">
        <v>2057</v>
      </c>
      <c r="C978" s="2367"/>
      <c r="D978" s="2367"/>
      <c r="E978" s="2367"/>
      <c r="F978" s="2367"/>
      <c r="G978" s="2368"/>
    </row>
    <row r="979" spans="1:7">
      <c r="A979" s="2435" t="s">
        <v>306</v>
      </c>
      <c r="B979" s="2436"/>
      <c r="C979" s="2436"/>
      <c r="D979" s="2436"/>
      <c r="E979" s="2436"/>
      <c r="F979" s="2436"/>
      <c r="G979" s="2437"/>
    </row>
    <row r="980" spans="1:7">
      <c r="A980" s="2372" t="s">
        <v>1858</v>
      </c>
      <c r="B980" s="2373"/>
      <c r="C980" s="2373"/>
      <c r="D980" s="2373"/>
      <c r="E980" s="2373"/>
      <c r="F980" s="2373"/>
      <c r="G980" s="2374"/>
    </row>
    <row r="981" spans="1:7">
      <c r="A981" s="1313" t="s">
        <v>321</v>
      </c>
      <c r="B981" s="1314" t="s">
        <v>321</v>
      </c>
      <c r="C981" s="1314" t="s">
        <v>1744</v>
      </c>
      <c r="D981" s="1314" t="s">
        <v>324</v>
      </c>
      <c r="E981" s="1314" t="s">
        <v>1745</v>
      </c>
      <c r="F981" s="1314" t="s">
        <v>1746</v>
      </c>
      <c r="G981" s="1370" t="s">
        <v>1747</v>
      </c>
    </row>
    <row r="982" spans="1:7">
      <c r="A982" s="2442" t="s">
        <v>1859</v>
      </c>
      <c r="B982" s="2443"/>
      <c r="C982" s="2443"/>
      <c r="D982" s="2443"/>
      <c r="E982" s="2443"/>
      <c r="F982" s="2443"/>
      <c r="G982" s="2444"/>
    </row>
    <row r="983" spans="1:7" ht="24">
      <c r="A983" s="1328" t="s">
        <v>1930</v>
      </c>
      <c r="B983" s="1307">
        <f>4.75+9.5+4.75</f>
        <v>19</v>
      </c>
      <c r="C983" s="1307">
        <v>0.15</v>
      </c>
      <c r="D983" s="1307">
        <f t="shared" ref="D983:D988" si="42">C983*B983</f>
        <v>2.85</v>
      </c>
      <c r="E983" s="1307"/>
      <c r="F983" s="1307"/>
      <c r="G983" s="1373">
        <f t="shared" ref="G983:G988" si="43">D983-F983</f>
        <v>2.85</v>
      </c>
    </row>
    <row r="984" spans="1:7" ht="36">
      <c r="A984" s="1328" t="s">
        <v>1931</v>
      </c>
      <c r="B984" s="1307">
        <f>4.15+4+1.6+3.08+4.5+1.65+5.15+4</f>
        <v>28.129999999999995</v>
      </c>
      <c r="C984" s="1307">
        <v>0.15</v>
      </c>
      <c r="D984" s="1307">
        <f t="shared" si="42"/>
        <v>4.2194999999999991</v>
      </c>
      <c r="E984" s="1307"/>
      <c r="F984" s="1307"/>
      <c r="G984" s="1373">
        <f t="shared" si="43"/>
        <v>4.2194999999999991</v>
      </c>
    </row>
    <row r="985" spans="1:7" ht="24">
      <c r="A985" s="1328" t="s">
        <v>1932</v>
      </c>
      <c r="B985" s="1307">
        <f>3.85+3.85+9.8+9.8</f>
        <v>27.3</v>
      </c>
      <c r="C985" s="1307">
        <v>0.15</v>
      </c>
      <c r="D985" s="1307">
        <f t="shared" si="42"/>
        <v>4.0949999999999998</v>
      </c>
      <c r="E985" s="1307"/>
      <c r="F985" s="1307"/>
      <c r="G985" s="1373">
        <f t="shared" si="43"/>
        <v>4.0949999999999998</v>
      </c>
    </row>
    <row r="986" spans="1:7" ht="24">
      <c r="A986" s="1328" t="s">
        <v>1933</v>
      </c>
      <c r="B986" s="1307">
        <f>7.8+7.5+17.1+3.35</f>
        <v>35.750000000000007</v>
      </c>
      <c r="C986" s="1307">
        <v>0.15</v>
      </c>
      <c r="D986" s="1307">
        <f t="shared" si="42"/>
        <v>5.3625000000000007</v>
      </c>
      <c r="E986" s="1307"/>
      <c r="F986" s="1307"/>
      <c r="G986" s="1373">
        <f t="shared" si="43"/>
        <v>5.3625000000000007</v>
      </c>
    </row>
    <row r="987" spans="1:7">
      <c r="A987" s="1328" t="s">
        <v>1934</v>
      </c>
      <c r="B987" s="1307">
        <f>3.35+1.8</f>
        <v>5.15</v>
      </c>
      <c r="C987" s="1307">
        <v>1.28</v>
      </c>
      <c r="D987" s="1307">
        <f t="shared" si="42"/>
        <v>6.5920000000000005</v>
      </c>
      <c r="E987" s="1307"/>
      <c r="F987" s="1307"/>
      <c r="G987" s="1373">
        <f t="shared" si="43"/>
        <v>6.5920000000000005</v>
      </c>
    </row>
    <row r="988" spans="1:7">
      <c r="A988" s="1328" t="s">
        <v>1935</v>
      </c>
      <c r="B988" s="1307">
        <f>7.8+7.5</f>
        <v>15.3</v>
      </c>
      <c r="C988" s="1307">
        <v>1.28</v>
      </c>
      <c r="D988" s="1307">
        <f t="shared" si="42"/>
        <v>19.584</v>
      </c>
      <c r="E988" s="1307"/>
      <c r="F988" s="1307"/>
      <c r="G988" s="1373">
        <f t="shared" si="43"/>
        <v>19.584</v>
      </c>
    </row>
    <row r="989" spans="1:7">
      <c r="A989" s="2520"/>
      <c r="B989" s="2503"/>
      <c r="C989" s="2503"/>
      <c r="D989" s="2503"/>
      <c r="E989" s="2503"/>
      <c r="F989" s="2503"/>
      <c r="G989" s="2504"/>
    </row>
    <row r="990" spans="1:7">
      <c r="A990" s="2442" t="s">
        <v>1870</v>
      </c>
      <c r="B990" s="2443"/>
      <c r="C990" s="2443"/>
      <c r="D990" s="2443"/>
      <c r="E990" s="2443"/>
      <c r="F990" s="2443"/>
      <c r="G990" s="2444"/>
    </row>
    <row r="991" spans="1:7">
      <c r="A991" s="1371">
        <v>4.1500000000000004</v>
      </c>
      <c r="B991" s="1307">
        <v>4.1500000000000004</v>
      </c>
      <c r="C991" s="1307">
        <v>2.2799999999999998</v>
      </c>
      <c r="D991" s="1307">
        <f t="shared" ref="D991:D997" si="44">C991*B991</f>
        <v>9.4619999999999997</v>
      </c>
      <c r="E991" s="1307"/>
      <c r="F991" s="1307"/>
      <c r="G991" s="1373">
        <f>D991*C991</f>
        <v>21.573359999999997</v>
      </c>
    </row>
    <row r="992" spans="1:7">
      <c r="A992" s="1371">
        <v>3.35</v>
      </c>
      <c r="B992" s="1307">
        <v>3.35</v>
      </c>
      <c r="C992" s="1307">
        <v>4.32</v>
      </c>
      <c r="D992" s="1307">
        <f t="shared" si="44"/>
        <v>14.472000000000001</v>
      </c>
      <c r="E992" s="1307"/>
      <c r="F992" s="1307"/>
      <c r="G992" s="1373">
        <f>D992</f>
        <v>14.472000000000001</v>
      </c>
    </row>
    <row r="993" spans="1:7">
      <c r="A993" s="1371">
        <v>2.35</v>
      </c>
      <c r="B993" s="1307">
        <v>2.35</v>
      </c>
      <c r="C993" s="1307">
        <v>4.32</v>
      </c>
      <c r="D993" s="1307">
        <f t="shared" si="44"/>
        <v>10.152000000000001</v>
      </c>
      <c r="E993" s="1372" t="s">
        <v>1878</v>
      </c>
      <c r="F993" s="1307">
        <f>2.2*1.1</f>
        <v>2.4200000000000004</v>
      </c>
      <c r="G993" s="1373">
        <f>D993-F993</f>
        <v>7.7320000000000011</v>
      </c>
    </row>
    <row r="994" spans="1:7">
      <c r="A994" s="1371">
        <v>4.1500000000000004</v>
      </c>
      <c r="B994" s="1307">
        <v>4.1500000000000004</v>
      </c>
      <c r="C994" s="1307">
        <v>1.27</v>
      </c>
      <c r="D994" s="1307">
        <f t="shared" si="44"/>
        <v>5.2705000000000002</v>
      </c>
      <c r="E994" s="1307"/>
      <c r="F994" s="1307"/>
      <c r="G994" s="1373">
        <f>D994</f>
        <v>5.2705000000000002</v>
      </c>
    </row>
    <row r="995" spans="1:7">
      <c r="A995" s="1328" t="s">
        <v>1936</v>
      </c>
      <c r="B995" s="1307">
        <v>4.1500000000000004</v>
      </c>
      <c r="C995" s="1307">
        <v>1.27</v>
      </c>
      <c r="D995" s="1307">
        <f t="shared" si="44"/>
        <v>5.2705000000000002</v>
      </c>
      <c r="E995" s="1307"/>
      <c r="F995" s="1307"/>
      <c r="G995" s="1373">
        <f>D995</f>
        <v>5.2705000000000002</v>
      </c>
    </row>
    <row r="996" spans="1:7" ht="24">
      <c r="A996" s="1328" t="s">
        <v>1937</v>
      </c>
      <c r="B996" s="1307">
        <f>4.45+4.6+4.6</f>
        <v>13.65</v>
      </c>
      <c r="C996" s="1307">
        <v>1.78</v>
      </c>
      <c r="D996" s="1307">
        <f t="shared" si="44"/>
        <v>24.297000000000001</v>
      </c>
      <c r="E996" s="1307"/>
      <c r="F996" s="1307"/>
      <c r="G996" s="1373">
        <f>D996</f>
        <v>24.297000000000001</v>
      </c>
    </row>
    <row r="997" spans="1:7">
      <c r="A997" s="1328" t="s">
        <v>1939</v>
      </c>
      <c r="B997" s="1307">
        <f>3.85+3.85</f>
        <v>7.7</v>
      </c>
      <c r="C997" s="1307">
        <v>2.2799999999999998</v>
      </c>
      <c r="D997" s="1307">
        <f t="shared" si="44"/>
        <v>17.555999999999997</v>
      </c>
      <c r="E997" s="1307"/>
      <c r="F997" s="1307"/>
      <c r="G997" s="1373">
        <f>D997</f>
        <v>17.555999999999997</v>
      </c>
    </row>
    <row r="998" spans="1:7" ht="24">
      <c r="A998" s="1428" t="s">
        <v>1940</v>
      </c>
      <c r="B998" s="1429">
        <v>4.5999999999999996</v>
      </c>
      <c r="C998" s="1406">
        <v>1.93</v>
      </c>
      <c r="D998" s="1406">
        <f>B998*C998</f>
        <v>8.8779999999999983</v>
      </c>
      <c r="E998" s="1406"/>
      <c r="F998" s="1406"/>
      <c r="G998" s="1431">
        <f>D998-F998</f>
        <v>8.8779999999999983</v>
      </c>
    </row>
    <row r="999" spans="1:7">
      <c r="A999" s="2520"/>
      <c r="B999" s="2503"/>
      <c r="C999" s="2503"/>
      <c r="D999" s="2503"/>
      <c r="E999" s="2503"/>
      <c r="F999" s="2503"/>
      <c r="G999" s="2504"/>
    </row>
    <row r="1000" spans="1:7">
      <c r="A1000" s="2442" t="s">
        <v>1888</v>
      </c>
      <c r="B1000" s="2443"/>
      <c r="C1000" s="2443"/>
      <c r="D1000" s="2443"/>
      <c r="E1000" s="2443"/>
      <c r="F1000" s="2443"/>
      <c r="G1000" s="2444"/>
    </row>
    <row r="1001" spans="1:7" ht="24">
      <c r="A1001" s="1328" t="s">
        <v>1941</v>
      </c>
      <c r="B1001" s="1307">
        <f>3.65+4.8</f>
        <v>8.4499999999999993</v>
      </c>
      <c r="C1001" s="1307">
        <v>4.32</v>
      </c>
      <c r="D1001" s="1307">
        <f>B1001*C1001</f>
        <v>36.503999999999998</v>
      </c>
      <c r="E1001" s="1372" t="s">
        <v>1942</v>
      </c>
      <c r="F1001" s="1307">
        <f>(2.2*1.1)+(2.3+1.1)</f>
        <v>5.82</v>
      </c>
      <c r="G1001" s="1373">
        <f>D1001-F1001</f>
        <v>30.683999999999997</v>
      </c>
    </row>
    <row r="1002" spans="1:7" ht="36">
      <c r="A1002" s="1328" t="s">
        <v>1945</v>
      </c>
      <c r="B1002" s="1427">
        <f>7.8+7.8+17.25</f>
        <v>32.85</v>
      </c>
      <c r="C1002" s="1307">
        <v>4.32</v>
      </c>
      <c r="D1002" s="1307">
        <f>B1002*C1002</f>
        <v>141.91200000000001</v>
      </c>
      <c r="E1002" s="1372" t="s">
        <v>1946</v>
      </c>
      <c r="F1002" s="1307">
        <f>((2.3*1.1)*3)+((1.1*0.6)*2)+(1.6*2.1)</f>
        <v>12.27</v>
      </c>
      <c r="G1002" s="1373">
        <f>D1002-F1002</f>
        <v>129.642</v>
      </c>
    </row>
    <row r="1003" spans="1:7">
      <c r="A1003" s="1371">
        <v>5.15</v>
      </c>
      <c r="B1003" s="1427">
        <v>5.15</v>
      </c>
      <c r="C1003" s="1307">
        <v>4.2699999999999996</v>
      </c>
      <c r="D1003" s="1307">
        <f>B1003*C1003</f>
        <v>21.990500000000001</v>
      </c>
      <c r="E1003" s="1307"/>
      <c r="F1003" s="1307"/>
      <c r="G1003" s="1373">
        <f>D1003</f>
        <v>21.990500000000001</v>
      </c>
    </row>
    <row r="1004" spans="1:7">
      <c r="A1004" s="1371">
        <v>4.1500000000000004</v>
      </c>
      <c r="B1004" s="1427">
        <v>4.1500000000000004</v>
      </c>
      <c r="C1004" s="1307">
        <v>2.84</v>
      </c>
      <c r="D1004" s="1307">
        <f>B1004*C1004</f>
        <v>11.786</v>
      </c>
      <c r="E1004" s="1372" t="s">
        <v>1947</v>
      </c>
      <c r="F1004" s="1307">
        <f>(1.3*2.1)+(2.3*1.1)</f>
        <v>5.26</v>
      </c>
      <c r="G1004" s="1373">
        <f>D1004-F1004</f>
        <v>6.5259999999999998</v>
      </c>
    </row>
    <row r="1005" spans="1:7">
      <c r="A1005" s="1328" t="s">
        <v>1948</v>
      </c>
      <c r="B1005" s="1307">
        <v>7.5</v>
      </c>
      <c r="C1005" s="1307">
        <v>1.78</v>
      </c>
      <c r="D1005" s="1307">
        <f>C1005*B1005</f>
        <v>13.35</v>
      </c>
      <c r="E1005" s="1307"/>
      <c r="F1005" s="1307"/>
      <c r="G1005" s="1373">
        <f>D1005-F1005</f>
        <v>13.35</v>
      </c>
    </row>
    <row r="1006" spans="1:7">
      <c r="A1006" s="1328" t="s">
        <v>1949</v>
      </c>
      <c r="B1006" s="1307">
        <v>16.95</v>
      </c>
      <c r="C1006" s="1307">
        <v>1.28</v>
      </c>
      <c r="D1006" s="1307">
        <f>C1006*B1006</f>
        <v>21.695999999999998</v>
      </c>
      <c r="E1006" s="1307"/>
      <c r="F1006" s="1307"/>
      <c r="G1006" s="1373">
        <f>D1006-F1006</f>
        <v>21.695999999999998</v>
      </c>
    </row>
    <row r="1007" spans="1:7" ht="24">
      <c r="A1007" s="1328" t="s">
        <v>1950</v>
      </c>
      <c r="B1007" s="1307">
        <f>9.5+9.5+9.5</f>
        <v>28.5</v>
      </c>
      <c r="C1007" s="1307">
        <v>2.2799999999999998</v>
      </c>
      <c r="D1007" s="1307">
        <f>C1007*B1007</f>
        <v>64.97999999999999</v>
      </c>
      <c r="E1007" s="1307"/>
      <c r="F1007" s="1307"/>
      <c r="G1007" s="1373">
        <f>D1007-F1007</f>
        <v>64.97999999999999</v>
      </c>
    </row>
    <row r="1008" spans="1:7">
      <c r="A1008" s="2520"/>
      <c r="B1008" s="2503"/>
      <c r="C1008" s="2503"/>
      <c r="D1008" s="2503"/>
      <c r="E1008" s="2503"/>
      <c r="F1008" s="2503"/>
      <c r="G1008" s="2504"/>
    </row>
    <row r="1009" spans="1:7">
      <c r="A1009" s="2466" t="s">
        <v>2058</v>
      </c>
      <c r="B1009" s="2430"/>
      <c r="C1009" s="2430"/>
      <c r="D1009" s="2430"/>
      <c r="E1009" s="2430"/>
      <c r="F1009" s="2430"/>
      <c r="G1009" s="2431"/>
    </row>
    <row r="1010" spans="1:7">
      <c r="A1010" s="2515"/>
      <c r="B1010" s="2516"/>
      <c r="C1010" s="2472" t="s">
        <v>1859</v>
      </c>
      <c r="D1010" s="2473"/>
      <c r="E1010" s="2473"/>
      <c r="F1010" s="2474"/>
      <c r="G1010" s="1373"/>
    </row>
    <row r="1011" spans="1:7">
      <c r="A1011" s="2509"/>
      <c r="B1011" s="2517"/>
      <c r="C1011" s="2458" t="s">
        <v>310</v>
      </c>
      <c r="D1011" s="2459"/>
      <c r="E1011" s="2459"/>
      <c r="F1011" s="2460"/>
      <c r="G1011" s="1432">
        <f>ROUNDUP(G983+G984+G985+G986+G987+G988,2)</f>
        <v>42.71</v>
      </c>
    </row>
    <row r="1012" spans="1:7">
      <c r="A1012" s="2509"/>
      <c r="B1012" s="2517"/>
      <c r="C1012" s="2472" t="s">
        <v>1870</v>
      </c>
      <c r="D1012" s="2473"/>
      <c r="E1012" s="2473"/>
      <c r="F1012" s="2474"/>
      <c r="G1012" s="1433"/>
    </row>
    <row r="1013" spans="1:7">
      <c r="A1013" s="2509"/>
      <c r="B1013" s="2517"/>
      <c r="C1013" s="2458" t="s">
        <v>310</v>
      </c>
      <c r="D1013" s="2459"/>
      <c r="E1013" s="2459"/>
      <c r="F1013" s="2460"/>
      <c r="G1013" s="1432">
        <f>ROUNDUP(G991+G992+G993+G994+G995+G996+G997+G998,2)</f>
        <v>105.05000000000001</v>
      </c>
    </row>
    <row r="1014" spans="1:7">
      <c r="A1014" s="2509"/>
      <c r="B1014" s="2517"/>
      <c r="C1014" s="2472" t="s">
        <v>1888</v>
      </c>
      <c r="D1014" s="2473"/>
      <c r="E1014" s="2473"/>
      <c r="F1014" s="2474"/>
      <c r="G1014" s="1433"/>
    </row>
    <row r="1015" spans="1:7">
      <c r="A1015" s="2518"/>
      <c r="B1015" s="2519"/>
      <c r="C1015" s="2458" t="s">
        <v>310</v>
      </c>
      <c r="D1015" s="2459"/>
      <c r="E1015" s="2459"/>
      <c r="F1015" s="2460"/>
      <c r="G1015" s="1432">
        <f>ROUNDUP(G1001+G1002+G1003+G1004+G1005+G1006+G1007,2)</f>
        <v>288.87</v>
      </c>
    </row>
    <row r="1016" spans="1:7" ht="15.75" thickBot="1">
      <c r="A1016" s="2533" t="s">
        <v>325</v>
      </c>
      <c r="B1016" s="2534"/>
      <c r="C1016" s="2534"/>
      <c r="D1016" s="2534"/>
      <c r="E1016" s="2534"/>
      <c r="F1016" s="2535"/>
      <c r="G1016" s="1434">
        <f>ROUNDUP(G1011+G1013+G1015,2)</f>
        <v>436.63</v>
      </c>
    </row>
    <row r="1017" spans="1:7" ht="15.75" thickBot="1">
      <c r="A1017" s="1467"/>
      <c r="B1017" s="1468"/>
      <c r="C1017" s="1468"/>
      <c r="D1017" s="1468"/>
      <c r="E1017" s="1468"/>
      <c r="F1017" s="1468"/>
      <c r="G1017" s="1469"/>
    </row>
    <row r="1018" spans="1:7" ht="15.75" thickBot="1">
      <c r="A1018" s="1299" t="s">
        <v>565</v>
      </c>
      <c r="B1018" s="2366" t="s">
        <v>2059</v>
      </c>
      <c r="C1018" s="2367"/>
      <c r="D1018" s="2367"/>
      <c r="E1018" s="2367"/>
      <c r="F1018" s="2367"/>
      <c r="G1018" s="2368"/>
    </row>
    <row r="1019" spans="1:7">
      <c r="A1019" s="2435" t="s">
        <v>306</v>
      </c>
      <c r="B1019" s="2436"/>
      <c r="C1019" s="2436"/>
      <c r="D1019" s="2436"/>
      <c r="E1019" s="2436"/>
      <c r="F1019" s="2436"/>
      <c r="G1019" s="2437"/>
    </row>
    <row r="1020" spans="1:7">
      <c r="A1020" s="2372" t="s">
        <v>1858</v>
      </c>
      <c r="B1020" s="2373"/>
      <c r="C1020" s="2373"/>
      <c r="D1020" s="2373"/>
      <c r="E1020" s="2373"/>
      <c r="F1020" s="2373"/>
      <c r="G1020" s="2374"/>
    </row>
    <row r="1021" spans="1:7">
      <c r="A1021" s="1313" t="s">
        <v>321</v>
      </c>
      <c r="B1021" s="1314" t="s">
        <v>321</v>
      </c>
      <c r="C1021" s="1314" t="s">
        <v>1744</v>
      </c>
      <c r="D1021" s="1314" t="s">
        <v>324</v>
      </c>
      <c r="E1021" s="1314" t="s">
        <v>1745</v>
      </c>
      <c r="F1021" s="1314" t="s">
        <v>1746</v>
      </c>
      <c r="G1021" s="1370" t="s">
        <v>1747</v>
      </c>
    </row>
    <row r="1022" spans="1:7">
      <c r="A1022" s="2442" t="s">
        <v>1859</v>
      </c>
      <c r="B1022" s="2443"/>
      <c r="C1022" s="2443"/>
      <c r="D1022" s="2443"/>
      <c r="E1022" s="2443"/>
      <c r="F1022" s="2443"/>
      <c r="G1022" s="2444"/>
    </row>
    <row r="1023" spans="1:7" ht="24">
      <c r="A1023" s="1328" t="s">
        <v>1930</v>
      </c>
      <c r="B1023" s="1307">
        <f>4.75+9.5+4.75</f>
        <v>19</v>
      </c>
      <c r="C1023" s="1307">
        <v>0.15</v>
      </c>
      <c r="D1023" s="1307">
        <f t="shared" ref="D1023:D1028" si="45">C1023*B1023</f>
        <v>2.85</v>
      </c>
      <c r="E1023" s="1307"/>
      <c r="F1023" s="1307"/>
      <c r="G1023" s="1373">
        <f t="shared" ref="G1023:G1028" si="46">D1023-F1023</f>
        <v>2.85</v>
      </c>
    </row>
    <row r="1024" spans="1:7" ht="36">
      <c r="A1024" s="1328" t="s">
        <v>1931</v>
      </c>
      <c r="B1024" s="1307">
        <f>4.15+4+1.6+3.08+4.5+1.65+5.15+4</f>
        <v>28.129999999999995</v>
      </c>
      <c r="C1024" s="1307">
        <v>0.15</v>
      </c>
      <c r="D1024" s="1307">
        <f t="shared" si="45"/>
        <v>4.2194999999999991</v>
      </c>
      <c r="E1024" s="1307"/>
      <c r="F1024" s="1307"/>
      <c r="G1024" s="1373">
        <f t="shared" si="46"/>
        <v>4.2194999999999991</v>
      </c>
    </row>
    <row r="1025" spans="1:7" ht="24">
      <c r="A1025" s="1328" t="s">
        <v>1932</v>
      </c>
      <c r="B1025" s="1307">
        <f>3.85+3.85+9.8+9.8</f>
        <v>27.3</v>
      </c>
      <c r="C1025" s="1307">
        <v>0.15</v>
      </c>
      <c r="D1025" s="1307">
        <f t="shared" si="45"/>
        <v>4.0949999999999998</v>
      </c>
      <c r="E1025" s="1307"/>
      <c r="F1025" s="1307"/>
      <c r="G1025" s="1373">
        <f t="shared" si="46"/>
        <v>4.0949999999999998</v>
      </c>
    </row>
    <row r="1026" spans="1:7" ht="24">
      <c r="A1026" s="1328" t="s">
        <v>1933</v>
      </c>
      <c r="B1026" s="1307">
        <f>7.8+7.5+17.1+3.35</f>
        <v>35.750000000000007</v>
      </c>
      <c r="C1026" s="1307">
        <v>0.15</v>
      </c>
      <c r="D1026" s="1307">
        <f t="shared" si="45"/>
        <v>5.3625000000000007</v>
      </c>
      <c r="E1026" s="1307"/>
      <c r="F1026" s="1307"/>
      <c r="G1026" s="1373">
        <f t="shared" si="46"/>
        <v>5.3625000000000007</v>
      </c>
    </row>
    <row r="1027" spans="1:7">
      <c r="A1027" s="1328" t="s">
        <v>1934</v>
      </c>
      <c r="B1027" s="1307">
        <f>3.35+1.8</f>
        <v>5.15</v>
      </c>
      <c r="C1027" s="1307">
        <v>1.28</v>
      </c>
      <c r="D1027" s="1307">
        <f t="shared" si="45"/>
        <v>6.5920000000000005</v>
      </c>
      <c r="E1027" s="1307"/>
      <c r="F1027" s="1307"/>
      <c r="G1027" s="1373">
        <f t="shared" si="46"/>
        <v>6.5920000000000005</v>
      </c>
    </row>
    <row r="1028" spans="1:7">
      <c r="A1028" s="1328" t="s">
        <v>1935</v>
      </c>
      <c r="B1028" s="1307">
        <f>7.8+7.5</f>
        <v>15.3</v>
      </c>
      <c r="C1028" s="1307">
        <v>1.28</v>
      </c>
      <c r="D1028" s="1307">
        <f t="shared" si="45"/>
        <v>19.584</v>
      </c>
      <c r="E1028" s="1307"/>
      <c r="F1028" s="1307"/>
      <c r="G1028" s="1373">
        <f t="shared" si="46"/>
        <v>19.584</v>
      </c>
    </row>
    <row r="1029" spans="1:7">
      <c r="A1029" s="2520"/>
      <c r="B1029" s="2503"/>
      <c r="C1029" s="2503"/>
      <c r="D1029" s="2503"/>
      <c r="E1029" s="2503"/>
      <c r="F1029" s="2503"/>
      <c r="G1029" s="2504"/>
    </row>
    <row r="1030" spans="1:7">
      <c r="A1030" s="2442" t="s">
        <v>1870</v>
      </c>
      <c r="B1030" s="2443"/>
      <c r="C1030" s="2443"/>
      <c r="D1030" s="2443"/>
      <c r="E1030" s="2443"/>
      <c r="F1030" s="2443"/>
      <c r="G1030" s="2444"/>
    </row>
    <row r="1031" spans="1:7">
      <c r="A1031" s="1371">
        <v>4.1500000000000004</v>
      </c>
      <c r="B1031" s="1307">
        <v>4.1500000000000004</v>
      </c>
      <c r="C1031" s="1307">
        <v>2.2799999999999998</v>
      </c>
      <c r="D1031" s="1307">
        <f t="shared" ref="D1031:D1037" si="47">C1031*B1031</f>
        <v>9.4619999999999997</v>
      </c>
      <c r="E1031" s="1307"/>
      <c r="F1031" s="1307"/>
      <c r="G1031" s="1373">
        <f>D1031*C1031</f>
        <v>21.573359999999997</v>
      </c>
    </row>
    <row r="1032" spans="1:7">
      <c r="A1032" s="1371">
        <v>3.35</v>
      </c>
      <c r="B1032" s="1307">
        <v>3.35</v>
      </c>
      <c r="C1032" s="1307">
        <v>4.32</v>
      </c>
      <c r="D1032" s="1307">
        <f t="shared" si="47"/>
        <v>14.472000000000001</v>
      </c>
      <c r="E1032" s="1307"/>
      <c r="F1032" s="1307"/>
      <c r="G1032" s="1373">
        <f>D1032</f>
        <v>14.472000000000001</v>
      </c>
    </row>
    <row r="1033" spans="1:7">
      <c r="A1033" s="1371">
        <v>2.35</v>
      </c>
      <c r="B1033" s="1307">
        <v>2.35</v>
      </c>
      <c r="C1033" s="1307">
        <v>4.32</v>
      </c>
      <c r="D1033" s="1307">
        <f t="shared" si="47"/>
        <v>10.152000000000001</v>
      </c>
      <c r="E1033" s="1372" t="s">
        <v>1878</v>
      </c>
      <c r="F1033" s="1307">
        <f>2.2*1.1</f>
        <v>2.4200000000000004</v>
      </c>
      <c r="G1033" s="1373">
        <f>D1033-F1033</f>
        <v>7.7320000000000011</v>
      </c>
    </row>
    <row r="1034" spans="1:7">
      <c r="A1034" s="1371">
        <v>4.1500000000000004</v>
      </c>
      <c r="B1034" s="1307">
        <v>4.1500000000000004</v>
      </c>
      <c r="C1034" s="1307">
        <v>1.27</v>
      </c>
      <c r="D1034" s="1307">
        <f t="shared" si="47"/>
        <v>5.2705000000000002</v>
      </c>
      <c r="E1034" s="1307"/>
      <c r="F1034" s="1307"/>
      <c r="G1034" s="1373">
        <f>D1034</f>
        <v>5.2705000000000002</v>
      </c>
    </row>
    <row r="1035" spans="1:7">
      <c r="A1035" s="1328" t="s">
        <v>1936</v>
      </c>
      <c r="B1035" s="1307">
        <v>4.1500000000000004</v>
      </c>
      <c r="C1035" s="1307">
        <v>1.27</v>
      </c>
      <c r="D1035" s="1307">
        <f t="shared" si="47"/>
        <v>5.2705000000000002</v>
      </c>
      <c r="E1035" s="1307"/>
      <c r="F1035" s="1307"/>
      <c r="G1035" s="1373">
        <f>D1035</f>
        <v>5.2705000000000002</v>
      </c>
    </row>
    <row r="1036" spans="1:7" ht="24">
      <c r="A1036" s="1328" t="s">
        <v>1937</v>
      </c>
      <c r="B1036" s="1307">
        <f>4.45+4.6+4.6</f>
        <v>13.65</v>
      </c>
      <c r="C1036" s="1307">
        <v>1.78</v>
      </c>
      <c r="D1036" s="1307">
        <f t="shared" si="47"/>
        <v>24.297000000000001</v>
      </c>
      <c r="E1036" s="1307"/>
      <c r="F1036" s="1307"/>
      <c r="G1036" s="1373">
        <f>D1036</f>
        <v>24.297000000000001</v>
      </c>
    </row>
    <row r="1037" spans="1:7">
      <c r="A1037" s="1328" t="s">
        <v>1939</v>
      </c>
      <c r="B1037" s="1307">
        <f>3.85+3.85</f>
        <v>7.7</v>
      </c>
      <c r="C1037" s="1307">
        <v>2.2799999999999998</v>
      </c>
      <c r="D1037" s="1307">
        <f t="shared" si="47"/>
        <v>17.555999999999997</v>
      </c>
      <c r="E1037" s="1307"/>
      <c r="F1037" s="1307"/>
      <c r="G1037" s="1373">
        <f>D1037</f>
        <v>17.555999999999997</v>
      </c>
    </row>
    <row r="1038" spans="1:7" ht="24">
      <c r="A1038" s="1428" t="s">
        <v>1940</v>
      </c>
      <c r="B1038" s="1429">
        <v>4.5999999999999996</v>
      </c>
      <c r="C1038" s="1406">
        <v>1.93</v>
      </c>
      <c r="D1038" s="1406">
        <f>B1038*C1038</f>
        <v>8.8779999999999983</v>
      </c>
      <c r="E1038" s="1406"/>
      <c r="F1038" s="1406"/>
      <c r="G1038" s="1431">
        <f>D1038-F1038</f>
        <v>8.8779999999999983</v>
      </c>
    </row>
    <row r="1039" spans="1:7">
      <c r="A1039" s="2520"/>
      <c r="B1039" s="2503"/>
      <c r="C1039" s="2503"/>
      <c r="D1039" s="2503"/>
      <c r="E1039" s="2503"/>
      <c r="F1039" s="2503"/>
      <c r="G1039" s="2504"/>
    </row>
    <row r="1040" spans="1:7">
      <c r="A1040" s="2442" t="s">
        <v>1888</v>
      </c>
      <c r="B1040" s="2443"/>
      <c r="C1040" s="2443"/>
      <c r="D1040" s="2443"/>
      <c r="E1040" s="2443"/>
      <c r="F1040" s="2443"/>
      <c r="G1040" s="2444"/>
    </row>
    <row r="1041" spans="1:7" ht="24">
      <c r="A1041" s="1328" t="s">
        <v>1941</v>
      </c>
      <c r="B1041" s="1307">
        <f>3.65+4.8</f>
        <v>8.4499999999999993</v>
      </c>
      <c r="C1041" s="1307">
        <v>4.32</v>
      </c>
      <c r="D1041" s="1307">
        <f>B1041*C1041</f>
        <v>36.503999999999998</v>
      </c>
      <c r="E1041" s="1372" t="s">
        <v>1942</v>
      </c>
      <c r="F1041" s="1307">
        <f>(2.2*1.1)+(2.3+1.1)</f>
        <v>5.82</v>
      </c>
      <c r="G1041" s="1373">
        <f>D1041-F1041</f>
        <v>30.683999999999997</v>
      </c>
    </row>
    <row r="1042" spans="1:7" ht="36">
      <c r="A1042" s="1328" t="s">
        <v>1945</v>
      </c>
      <c r="B1042" s="1427">
        <f>7.8+7.8+17.25</f>
        <v>32.85</v>
      </c>
      <c r="C1042" s="1307">
        <v>4.32</v>
      </c>
      <c r="D1042" s="1307">
        <f>B1042*C1042</f>
        <v>141.91200000000001</v>
      </c>
      <c r="E1042" s="1372" t="s">
        <v>1946</v>
      </c>
      <c r="F1042" s="1307">
        <f>((2.3*1.1)*3)+((1.1*0.6)*2)+(1.6*2.1)</f>
        <v>12.27</v>
      </c>
      <c r="G1042" s="1373">
        <f>D1042-F1042</f>
        <v>129.642</v>
      </c>
    </row>
    <row r="1043" spans="1:7">
      <c r="A1043" s="1371">
        <v>5.15</v>
      </c>
      <c r="B1043" s="1427">
        <v>5.15</v>
      </c>
      <c r="C1043" s="1307">
        <v>4.2699999999999996</v>
      </c>
      <c r="D1043" s="1307">
        <f>B1043*C1043</f>
        <v>21.990500000000001</v>
      </c>
      <c r="E1043" s="1307"/>
      <c r="F1043" s="1307"/>
      <c r="G1043" s="1373">
        <f>D1043</f>
        <v>21.990500000000001</v>
      </c>
    </row>
    <row r="1044" spans="1:7">
      <c r="A1044" s="1371">
        <v>4.1500000000000004</v>
      </c>
      <c r="B1044" s="1427">
        <v>4.1500000000000004</v>
      </c>
      <c r="C1044" s="1307">
        <v>2.84</v>
      </c>
      <c r="D1044" s="1307">
        <f>B1044*C1044</f>
        <v>11.786</v>
      </c>
      <c r="E1044" s="1372" t="s">
        <v>1947</v>
      </c>
      <c r="F1044" s="1307">
        <f>(1.3*2.1)+(2.3*1.1)</f>
        <v>5.26</v>
      </c>
      <c r="G1044" s="1373">
        <f>D1044-F1044</f>
        <v>6.5259999999999998</v>
      </c>
    </row>
    <row r="1045" spans="1:7">
      <c r="A1045" s="1328" t="s">
        <v>1948</v>
      </c>
      <c r="B1045" s="1307">
        <v>7.5</v>
      </c>
      <c r="C1045" s="1307">
        <v>1.78</v>
      </c>
      <c r="D1045" s="1307">
        <f>C1045*B1045</f>
        <v>13.35</v>
      </c>
      <c r="E1045" s="1307"/>
      <c r="F1045" s="1307"/>
      <c r="G1045" s="1373">
        <f>D1045-F1045</f>
        <v>13.35</v>
      </c>
    </row>
    <row r="1046" spans="1:7">
      <c r="A1046" s="1328" t="s">
        <v>1949</v>
      </c>
      <c r="B1046" s="1307">
        <v>16.95</v>
      </c>
      <c r="C1046" s="1307">
        <v>1.28</v>
      </c>
      <c r="D1046" s="1307">
        <f>C1046*B1046</f>
        <v>21.695999999999998</v>
      </c>
      <c r="E1046" s="1307"/>
      <c r="F1046" s="1307"/>
      <c r="G1046" s="1373">
        <f>D1046-F1046</f>
        <v>21.695999999999998</v>
      </c>
    </row>
    <row r="1047" spans="1:7" ht="24">
      <c r="A1047" s="1328" t="s">
        <v>1950</v>
      </c>
      <c r="B1047" s="1307">
        <f>9.5+9.5+9.5</f>
        <v>28.5</v>
      </c>
      <c r="C1047" s="1307">
        <v>2.2799999999999998</v>
      </c>
      <c r="D1047" s="1307">
        <f>C1047*B1047</f>
        <v>64.97999999999999</v>
      </c>
      <c r="E1047" s="1307"/>
      <c r="F1047" s="1307"/>
      <c r="G1047" s="1373">
        <f>D1047-F1047</f>
        <v>64.97999999999999</v>
      </c>
    </row>
    <row r="1048" spans="1:7">
      <c r="A1048" s="2520"/>
      <c r="B1048" s="2503"/>
      <c r="C1048" s="2503"/>
      <c r="D1048" s="2503"/>
      <c r="E1048" s="2503"/>
      <c r="F1048" s="2503"/>
      <c r="G1048" s="2504"/>
    </row>
    <row r="1049" spans="1:7">
      <c r="A1049" s="2585" t="s">
        <v>2060</v>
      </c>
      <c r="B1049" s="2586"/>
      <c r="C1049" s="2586"/>
      <c r="D1049" s="2586"/>
      <c r="E1049" s="2586"/>
      <c r="F1049" s="2586"/>
      <c r="G1049" s="2587"/>
    </row>
    <row r="1050" spans="1:7">
      <c r="A1050" s="2515"/>
      <c r="B1050" s="2516"/>
      <c r="C1050" s="2472" t="s">
        <v>1859</v>
      </c>
      <c r="D1050" s="2473"/>
      <c r="E1050" s="2473"/>
      <c r="F1050" s="2474"/>
      <c r="G1050" s="1373"/>
    </row>
    <row r="1051" spans="1:7">
      <c r="A1051" s="2509"/>
      <c r="B1051" s="2517"/>
      <c r="C1051" s="2458" t="s">
        <v>310</v>
      </c>
      <c r="D1051" s="2459"/>
      <c r="E1051" s="2459"/>
      <c r="F1051" s="2460"/>
      <c r="G1051" s="1432">
        <f>ROUNDUP(G1023+G1024+G1025+G1026+G1027+G1028,2)</f>
        <v>42.71</v>
      </c>
    </row>
    <row r="1052" spans="1:7">
      <c r="A1052" s="2509"/>
      <c r="B1052" s="2517"/>
      <c r="C1052" s="2472" t="s">
        <v>1870</v>
      </c>
      <c r="D1052" s="2473"/>
      <c r="E1052" s="2473"/>
      <c r="F1052" s="2474"/>
      <c r="G1052" s="1433"/>
    </row>
    <row r="1053" spans="1:7">
      <c r="A1053" s="2509"/>
      <c r="B1053" s="2517"/>
      <c r="C1053" s="2458" t="s">
        <v>310</v>
      </c>
      <c r="D1053" s="2459"/>
      <c r="E1053" s="2459"/>
      <c r="F1053" s="2460"/>
      <c r="G1053" s="1432">
        <f>ROUNDUP(G1031+G1032+G1033+G1034+G1035+G1036+G1037+G1038,2)</f>
        <v>105.05000000000001</v>
      </c>
    </row>
    <row r="1054" spans="1:7">
      <c r="A1054" s="2509"/>
      <c r="B1054" s="2517"/>
      <c r="C1054" s="2472" t="s">
        <v>1888</v>
      </c>
      <c r="D1054" s="2473"/>
      <c r="E1054" s="2473"/>
      <c r="F1054" s="2474"/>
      <c r="G1054" s="1433"/>
    </row>
    <row r="1055" spans="1:7">
      <c r="A1055" s="2518"/>
      <c r="B1055" s="2519"/>
      <c r="C1055" s="2458" t="s">
        <v>310</v>
      </c>
      <c r="D1055" s="2459"/>
      <c r="E1055" s="2459"/>
      <c r="F1055" s="2460"/>
      <c r="G1055" s="1432">
        <f>ROUNDUP(G1041+G1042+G1043+G1044+G1045+G1046+G1047,2)</f>
        <v>288.87</v>
      </c>
    </row>
    <row r="1056" spans="1:7" ht="15.75" thickBot="1">
      <c r="A1056" s="2533" t="s">
        <v>325</v>
      </c>
      <c r="B1056" s="2534"/>
      <c r="C1056" s="2534"/>
      <c r="D1056" s="2534"/>
      <c r="E1056" s="2534"/>
      <c r="F1056" s="2535"/>
      <c r="G1056" s="1434">
        <f>ROUNDUP(G1051+G1053+G1055,2)</f>
        <v>436.63</v>
      </c>
    </row>
    <row r="1057" spans="1:7" ht="15.75" thickBot="1">
      <c r="A1057" s="1412"/>
      <c r="B1057" s="1470"/>
      <c r="C1057" s="1470"/>
      <c r="D1057" s="1470"/>
      <c r="E1057" s="1470"/>
      <c r="F1057" s="1470"/>
      <c r="G1057" s="1471"/>
    </row>
    <row r="1058" spans="1:7" ht="15.75" thickBot="1">
      <c r="A1058" s="1299" t="s">
        <v>566</v>
      </c>
      <c r="B1058" s="2366" t="s">
        <v>2061</v>
      </c>
      <c r="C1058" s="2367"/>
      <c r="D1058" s="2367"/>
      <c r="E1058" s="2367"/>
      <c r="F1058" s="2367"/>
      <c r="G1058" s="2368"/>
    </row>
    <row r="1059" spans="1:7">
      <c r="A1059" s="2435" t="s">
        <v>1960</v>
      </c>
      <c r="B1059" s="2436"/>
      <c r="C1059" s="2436"/>
      <c r="D1059" s="2436"/>
      <c r="E1059" s="2436"/>
      <c r="F1059" s="2436"/>
      <c r="G1059" s="2437"/>
    </row>
    <row r="1060" spans="1:7">
      <c r="A1060" s="2372" t="s">
        <v>1961</v>
      </c>
      <c r="B1060" s="2373"/>
      <c r="C1060" s="2373"/>
      <c r="D1060" s="2373"/>
      <c r="E1060" s="2373"/>
      <c r="F1060" s="2373"/>
      <c r="G1060" s="2374"/>
    </row>
    <row r="1061" spans="1:7">
      <c r="A1061" s="2466" t="s">
        <v>1811</v>
      </c>
      <c r="B1061" s="2448"/>
      <c r="C1061" s="1314" t="s">
        <v>321</v>
      </c>
      <c r="D1061" s="1314" t="s">
        <v>308</v>
      </c>
      <c r="E1061" s="2429" t="s">
        <v>309</v>
      </c>
      <c r="F1061" s="2430"/>
      <c r="G1061" s="2431"/>
    </row>
    <row r="1062" spans="1:7">
      <c r="A1062" s="2491" t="s">
        <v>1812</v>
      </c>
      <c r="B1062" s="2492"/>
      <c r="C1062" s="1406">
        <v>36.450000000000003</v>
      </c>
      <c r="D1062" s="1407">
        <v>33.979999999999997</v>
      </c>
      <c r="E1062" s="2493"/>
      <c r="F1062" s="2494"/>
      <c r="G1062" s="2495"/>
    </row>
    <row r="1063" spans="1:7">
      <c r="A1063" s="2491" t="s">
        <v>2054</v>
      </c>
      <c r="B1063" s="2492"/>
      <c r="C1063" s="1406">
        <f>36.45+0.8+0.8</f>
        <v>38.049999999999997</v>
      </c>
      <c r="D1063" s="1407">
        <f>38.05*0.2</f>
        <v>7.6099999999999994</v>
      </c>
      <c r="E1063" s="2570"/>
      <c r="F1063" s="2584"/>
      <c r="G1063" s="2571"/>
    </row>
    <row r="1064" spans="1:7" ht="15.75" thickBot="1">
      <c r="A1064" s="1408"/>
      <c r="B1064" s="1409"/>
      <c r="C1064" s="1410" t="s">
        <v>310</v>
      </c>
      <c r="D1064" s="1411">
        <f>SUM(D1062:D1063)</f>
        <v>41.589999999999996</v>
      </c>
      <c r="E1064" s="2496"/>
      <c r="F1064" s="2497"/>
      <c r="G1064" s="2498"/>
    </row>
    <row r="1065" spans="1:7" ht="15.75" thickBot="1">
      <c r="A1065" s="1472"/>
      <c r="B1065" s="1365"/>
      <c r="C1065" s="1341"/>
      <c r="D1065" s="1341"/>
      <c r="E1065" s="1365"/>
      <c r="F1065" s="1365"/>
      <c r="G1065" s="1366"/>
    </row>
    <row r="1066" spans="1:7" ht="15.75" thickBot="1">
      <c r="A1066" s="1299" t="s">
        <v>567</v>
      </c>
      <c r="B1066" s="2366" t="s">
        <v>2062</v>
      </c>
      <c r="C1066" s="2367"/>
      <c r="D1066" s="2367"/>
      <c r="E1066" s="2367"/>
      <c r="F1066" s="2367"/>
      <c r="G1066" s="2368"/>
    </row>
    <row r="1067" spans="1:7">
      <c r="A1067" s="2435" t="s">
        <v>1960</v>
      </c>
      <c r="B1067" s="2436"/>
      <c r="C1067" s="2436"/>
      <c r="D1067" s="2436"/>
      <c r="E1067" s="2436"/>
      <c r="F1067" s="2436"/>
      <c r="G1067" s="2437"/>
    </row>
    <row r="1068" spans="1:7">
      <c r="A1068" s="2372" t="s">
        <v>1961</v>
      </c>
      <c r="B1068" s="2373"/>
      <c r="C1068" s="2373"/>
      <c r="D1068" s="2373"/>
      <c r="E1068" s="2373"/>
      <c r="F1068" s="2373"/>
      <c r="G1068" s="2374"/>
    </row>
    <row r="1069" spans="1:7">
      <c r="A1069" s="2466" t="s">
        <v>1811</v>
      </c>
      <c r="B1069" s="2448"/>
      <c r="C1069" s="1314" t="s">
        <v>2063</v>
      </c>
      <c r="D1069" s="1314" t="s">
        <v>308</v>
      </c>
      <c r="E1069" s="2429" t="s">
        <v>309</v>
      </c>
      <c r="F1069" s="2430"/>
      <c r="G1069" s="2431"/>
    </row>
    <row r="1070" spans="1:7">
      <c r="A1070" s="2491" t="s">
        <v>1830</v>
      </c>
      <c r="B1070" s="2492"/>
      <c r="C1070" s="1430" t="s">
        <v>2064</v>
      </c>
      <c r="D1070" s="1407">
        <f>(1.6*2.1)*4</f>
        <v>13.440000000000001</v>
      </c>
      <c r="E1070" s="2548" t="s">
        <v>2065</v>
      </c>
      <c r="F1070" s="2395"/>
      <c r="G1070" s="2549"/>
    </row>
    <row r="1071" spans="1:7" ht="15.75" thickBot="1">
      <c r="A1071" s="1408"/>
      <c r="B1071" s="1409"/>
      <c r="C1071" s="1410" t="s">
        <v>310</v>
      </c>
      <c r="D1071" s="1411">
        <f>SUM(D1070:D1070)</f>
        <v>13.440000000000001</v>
      </c>
      <c r="E1071" s="2550"/>
      <c r="F1071" s="2551"/>
      <c r="G1071" s="2552"/>
    </row>
    <row r="1072" spans="1:7" ht="15.75" thickBot="1">
      <c r="A1072" s="1472"/>
      <c r="B1072" s="1365"/>
      <c r="C1072" s="1341"/>
      <c r="D1072" s="1341"/>
      <c r="E1072" s="1365"/>
      <c r="F1072" s="1365"/>
      <c r="G1072" s="1366"/>
    </row>
    <row r="1073" spans="1:7" ht="15.75" thickBot="1">
      <c r="A1073" s="1299" t="s">
        <v>568</v>
      </c>
      <c r="B1073" s="2366" t="s">
        <v>2066</v>
      </c>
      <c r="C1073" s="2367"/>
      <c r="D1073" s="2367"/>
      <c r="E1073" s="2367"/>
      <c r="F1073" s="2367"/>
      <c r="G1073" s="2368"/>
    </row>
    <row r="1074" spans="1:7">
      <c r="A1074" s="2435" t="s">
        <v>1960</v>
      </c>
      <c r="B1074" s="2436"/>
      <c r="C1074" s="2436"/>
      <c r="D1074" s="2436"/>
      <c r="E1074" s="2436"/>
      <c r="F1074" s="2436"/>
      <c r="G1074" s="2437"/>
    </row>
    <row r="1075" spans="1:7">
      <c r="A1075" s="2372" t="s">
        <v>1961</v>
      </c>
      <c r="B1075" s="2373"/>
      <c r="C1075" s="2373"/>
      <c r="D1075" s="2373"/>
      <c r="E1075" s="2373"/>
      <c r="F1075" s="2373"/>
      <c r="G1075" s="2374"/>
    </row>
    <row r="1076" spans="1:7">
      <c r="A1076" s="2466" t="s">
        <v>1811</v>
      </c>
      <c r="B1076" s="2448"/>
      <c r="C1076" s="1314" t="s">
        <v>2063</v>
      </c>
      <c r="D1076" s="1314" t="s">
        <v>308</v>
      </c>
      <c r="E1076" s="2429" t="s">
        <v>309</v>
      </c>
      <c r="F1076" s="2430"/>
      <c r="G1076" s="2431"/>
    </row>
    <row r="1077" spans="1:7">
      <c r="A1077" s="2491" t="s">
        <v>333</v>
      </c>
      <c r="B1077" s="2492"/>
      <c r="C1077" s="1430" t="s">
        <v>2067</v>
      </c>
      <c r="D1077" s="1407">
        <f>(1.3*2.1)*2</f>
        <v>5.4600000000000009</v>
      </c>
      <c r="E1077" s="2548" t="s">
        <v>2068</v>
      </c>
      <c r="F1077" s="2395"/>
      <c r="G1077" s="2549"/>
    </row>
    <row r="1078" spans="1:7">
      <c r="A1078" s="2491" t="s">
        <v>1819</v>
      </c>
      <c r="B1078" s="2492"/>
      <c r="C1078" s="1430" t="s">
        <v>2069</v>
      </c>
      <c r="D1078" s="1407">
        <f>(0.8*2.1)*3*2</f>
        <v>10.080000000000002</v>
      </c>
      <c r="E1078" s="2397"/>
      <c r="F1078" s="2398"/>
      <c r="G1078" s="2399"/>
    </row>
    <row r="1079" spans="1:7">
      <c r="A1079" s="2491" t="s">
        <v>334</v>
      </c>
      <c r="B1079" s="2492"/>
      <c r="C1079" s="1430" t="s">
        <v>2070</v>
      </c>
      <c r="D1079" s="1407">
        <f>(1*2.1)*2</f>
        <v>4.2</v>
      </c>
      <c r="E1079" s="2397"/>
      <c r="F1079" s="2398"/>
      <c r="G1079" s="2399"/>
    </row>
    <row r="1080" spans="1:7">
      <c r="A1080" s="2491" t="s">
        <v>628</v>
      </c>
      <c r="B1080" s="2492"/>
      <c r="C1080" s="1430" t="s">
        <v>2071</v>
      </c>
      <c r="D1080" s="1407">
        <f>(0.8*2.1)*2</f>
        <v>3.3600000000000003</v>
      </c>
      <c r="E1080" s="2397"/>
      <c r="F1080" s="2398"/>
      <c r="G1080" s="2399"/>
    </row>
    <row r="1081" spans="1:7" ht="15.75" thickBot="1">
      <c r="A1081" s="1408"/>
      <c r="B1081" s="1409"/>
      <c r="C1081" s="1410" t="s">
        <v>310</v>
      </c>
      <c r="D1081" s="1473">
        <f>SUM(D1077:D1080)</f>
        <v>23.1</v>
      </c>
      <c r="E1081" s="2550"/>
      <c r="F1081" s="2551"/>
      <c r="G1081" s="2552"/>
    </row>
    <row r="1082" spans="1:7" ht="15.75" thickBot="1">
      <c r="A1082" s="1472"/>
      <c r="B1082" s="1365"/>
      <c r="C1082" s="1341"/>
      <c r="D1082" s="1341"/>
      <c r="E1082" s="1365"/>
      <c r="F1082" s="1365"/>
      <c r="G1082" s="1366"/>
    </row>
    <row r="1083" spans="1:7" ht="15.75" thickBot="1">
      <c r="A1083" s="1299">
        <v>14</v>
      </c>
      <c r="B1083" s="2366" t="s">
        <v>2072</v>
      </c>
      <c r="C1083" s="2367"/>
      <c r="D1083" s="2367"/>
      <c r="E1083" s="2367"/>
      <c r="F1083" s="2367"/>
      <c r="G1083" s="2368"/>
    </row>
    <row r="1084" spans="1:7" ht="15.75" thickBot="1">
      <c r="A1084" s="1299" t="s">
        <v>91</v>
      </c>
      <c r="B1084" s="2366" t="s">
        <v>2073</v>
      </c>
      <c r="C1084" s="2367"/>
      <c r="D1084" s="2367"/>
      <c r="E1084" s="2367"/>
      <c r="F1084" s="2367"/>
      <c r="G1084" s="2368"/>
    </row>
    <row r="1085" spans="1:7" ht="15.75" thickBot="1">
      <c r="A1085" s="1299" t="s">
        <v>2074</v>
      </c>
      <c r="B1085" s="2366" t="s">
        <v>2075</v>
      </c>
      <c r="C1085" s="2367"/>
      <c r="D1085" s="2367"/>
      <c r="E1085" s="2367"/>
      <c r="F1085" s="2367"/>
      <c r="G1085" s="2368"/>
    </row>
    <row r="1086" spans="1:7">
      <c r="A1086" s="2411" t="s">
        <v>306</v>
      </c>
      <c r="B1086" s="2412"/>
      <c r="C1086" s="2412"/>
      <c r="D1086" s="2412"/>
      <c r="E1086" s="2412"/>
      <c r="F1086" s="2412"/>
      <c r="G1086" s="2413"/>
    </row>
    <row r="1087" spans="1:7">
      <c r="A1087" s="2372" t="s">
        <v>2076</v>
      </c>
      <c r="B1087" s="2373"/>
      <c r="C1087" s="2373"/>
      <c r="D1087" s="2373"/>
      <c r="E1087" s="2373"/>
      <c r="F1087" s="2373"/>
      <c r="G1087" s="2374"/>
    </row>
    <row r="1088" spans="1:7">
      <c r="A1088" s="1474" t="s">
        <v>2077</v>
      </c>
      <c r="B1088" s="1306" t="s">
        <v>2078</v>
      </c>
      <c r="C1088" s="2588"/>
      <c r="D1088" s="2589"/>
      <c r="E1088" s="2589"/>
      <c r="F1088" s="2589"/>
      <c r="G1088" s="2590"/>
    </row>
    <row r="1089" spans="1:7">
      <c r="A1089" s="1475" t="s">
        <v>1973</v>
      </c>
      <c r="B1089" s="1476">
        <v>2</v>
      </c>
      <c r="C1089" s="2591"/>
      <c r="D1089" s="2592"/>
      <c r="E1089" s="2592"/>
      <c r="F1089" s="2592"/>
      <c r="G1089" s="2593"/>
    </row>
    <row r="1090" spans="1:7">
      <c r="A1090" s="1475" t="s">
        <v>1971</v>
      </c>
      <c r="B1090" s="1476">
        <v>2</v>
      </c>
      <c r="C1090" s="2596"/>
      <c r="D1090" s="2597"/>
      <c r="E1090" s="2597"/>
      <c r="F1090" s="2597"/>
      <c r="G1090" s="2598"/>
    </row>
    <row r="1091" spans="1:7" ht="15.75" thickBot="1">
      <c r="A1091" s="1477" t="s">
        <v>310</v>
      </c>
      <c r="B1091" s="1308">
        <f>ROUNDUP(SUM(B1089:B1090),2)</f>
        <v>4</v>
      </c>
      <c r="C1091" s="2555"/>
      <c r="D1091" s="2508"/>
      <c r="E1091" s="2508"/>
      <c r="F1091" s="2508"/>
      <c r="G1091" s="2556"/>
    </row>
    <row r="1092" spans="1:7" ht="15.75" thickBot="1">
      <c r="A1092" s="1284"/>
      <c r="B1092" s="1285"/>
      <c r="C1092" s="1285"/>
      <c r="D1092" s="1285"/>
      <c r="E1092" s="1285"/>
      <c r="F1092" s="1285"/>
      <c r="G1092" s="1286"/>
    </row>
    <row r="1093" spans="1:7" ht="15.75" thickBot="1">
      <c r="A1093" s="1299" t="s">
        <v>2079</v>
      </c>
      <c r="B1093" s="2366" t="s">
        <v>2080</v>
      </c>
      <c r="C1093" s="2367"/>
      <c r="D1093" s="2367"/>
      <c r="E1093" s="2367"/>
      <c r="F1093" s="2367"/>
      <c r="G1093" s="2368"/>
    </row>
    <row r="1094" spans="1:7">
      <c r="A1094" s="2411" t="s">
        <v>306</v>
      </c>
      <c r="B1094" s="2412"/>
      <c r="C1094" s="2412"/>
      <c r="D1094" s="2412"/>
      <c r="E1094" s="2412"/>
      <c r="F1094" s="2412"/>
      <c r="G1094" s="2413"/>
    </row>
    <row r="1095" spans="1:7">
      <c r="A1095" s="2372" t="s">
        <v>2076</v>
      </c>
      <c r="B1095" s="2373"/>
      <c r="C1095" s="2373"/>
      <c r="D1095" s="2373"/>
      <c r="E1095" s="2373"/>
      <c r="F1095" s="2373"/>
      <c r="G1095" s="2374"/>
    </row>
    <row r="1096" spans="1:7">
      <c r="A1096" s="1474" t="s">
        <v>2077</v>
      </c>
      <c r="B1096" s="1306" t="s">
        <v>2078</v>
      </c>
      <c r="C1096" s="2588"/>
      <c r="D1096" s="2589"/>
      <c r="E1096" s="2589"/>
      <c r="F1096" s="2589"/>
      <c r="G1096" s="2590"/>
    </row>
    <row r="1097" spans="1:7">
      <c r="A1097" s="1475" t="s">
        <v>2081</v>
      </c>
      <c r="B1097" s="1476">
        <v>1</v>
      </c>
      <c r="C1097" s="1478"/>
      <c r="D1097" s="1479"/>
      <c r="E1097" s="1479"/>
      <c r="F1097" s="1479"/>
      <c r="G1097" s="1480"/>
    </row>
    <row r="1098" spans="1:7">
      <c r="A1098" s="1475" t="s">
        <v>2082</v>
      </c>
      <c r="B1098" s="1476">
        <v>1</v>
      </c>
      <c r="C1098" s="1478"/>
      <c r="D1098" s="1479"/>
      <c r="E1098" s="1479"/>
      <c r="F1098" s="1479"/>
      <c r="G1098" s="1480"/>
    </row>
    <row r="1099" spans="1:7" ht="15.75" thickBot="1">
      <c r="A1099" s="1477" t="s">
        <v>310</v>
      </c>
      <c r="B1099" s="1308">
        <f>ROUNDUP(SUM(B1097:B1098),2)</f>
        <v>2</v>
      </c>
      <c r="C1099" s="2555"/>
      <c r="D1099" s="2508"/>
      <c r="E1099" s="2508"/>
      <c r="F1099" s="2508"/>
      <c r="G1099" s="2556"/>
    </row>
    <row r="1100" spans="1:7" ht="15.75" thickBot="1">
      <c r="A1100" s="1284"/>
      <c r="B1100" s="1285"/>
      <c r="C1100" s="1285"/>
      <c r="D1100" s="1285"/>
      <c r="E1100" s="1285"/>
      <c r="F1100" s="1285"/>
      <c r="G1100" s="1286"/>
    </row>
    <row r="1101" spans="1:7" ht="15.75" thickBot="1">
      <c r="A1101" s="1299" t="s">
        <v>2083</v>
      </c>
      <c r="B1101" s="2366" t="s">
        <v>2084</v>
      </c>
      <c r="C1101" s="2367"/>
      <c r="D1101" s="2367"/>
      <c r="E1101" s="2367"/>
      <c r="F1101" s="2367"/>
      <c r="G1101" s="2368"/>
    </row>
    <row r="1102" spans="1:7">
      <c r="A1102" s="2411" t="s">
        <v>306</v>
      </c>
      <c r="B1102" s="2412"/>
      <c r="C1102" s="2412"/>
      <c r="D1102" s="2412"/>
      <c r="E1102" s="2412"/>
      <c r="F1102" s="2412"/>
      <c r="G1102" s="2413"/>
    </row>
    <row r="1103" spans="1:7">
      <c r="A1103" s="2372" t="s">
        <v>2076</v>
      </c>
      <c r="B1103" s="2373"/>
      <c r="C1103" s="2373"/>
      <c r="D1103" s="2373"/>
      <c r="E1103" s="2373"/>
      <c r="F1103" s="2373"/>
      <c r="G1103" s="2374"/>
    </row>
    <row r="1104" spans="1:7">
      <c r="A1104" s="1474" t="s">
        <v>2077</v>
      </c>
      <c r="B1104" s="1306" t="s">
        <v>2078</v>
      </c>
      <c r="C1104" s="2588"/>
      <c r="D1104" s="2589"/>
      <c r="E1104" s="2589"/>
      <c r="F1104" s="2589"/>
      <c r="G1104" s="2590"/>
    </row>
    <row r="1105" spans="1:7">
      <c r="A1105" s="1475" t="s">
        <v>2085</v>
      </c>
      <c r="B1105" s="1476">
        <v>1</v>
      </c>
      <c r="C1105" s="2591"/>
      <c r="D1105" s="2592"/>
      <c r="E1105" s="2592"/>
      <c r="F1105" s="2592"/>
      <c r="G1105" s="2593"/>
    </row>
    <row r="1106" spans="1:7">
      <c r="A1106" s="1475" t="s">
        <v>2086</v>
      </c>
      <c r="B1106" s="1476">
        <v>1</v>
      </c>
      <c r="C1106" s="2594"/>
      <c r="D1106" s="2440"/>
      <c r="E1106" s="2440"/>
      <c r="F1106" s="2440"/>
      <c r="G1106" s="2595"/>
    </row>
    <row r="1107" spans="1:7" ht="24">
      <c r="A1107" s="1481" t="s">
        <v>2087</v>
      </c>
      <c r="B1107" s="1476">
        <v>1</v>
      </c>
      <c r="C1107" s="2594"/>
      <c r="D1107" s="2440"/>
      <c r="E1107" s="2440"/>
      <c r="F1107" s="2440"/>
      <c r="G1107" s="2595"/>
    </row>
    <row r="1108" spans="1:7" ht="24">
      <c r="A1108" s="1481" t="s">
        <v>2088</v>
      </c>
      <c r="B1108" s="1476">
        <v>1</v>
      </c>
      <c r="C1108" s="2594"/>
      <c r="D1108" s="2440"/>
      <c r="E1108" s="2440"/>
      <c r="F1108" s="2440"/>
      <c r="G1108" s="2595"/>
    </row>
    <row r="1109" spans="1:7" ht="15.75" thickBot="1">
      <c r="A1109" s="1477" t="s">
        <v>310</v>
      </c>
      <c r="B1109" s="1308">
        <f>ROUNDUP(SUM(B1105:B1108),2)</f>
        <v>4</v>
      </c>
      <c r="C1109" s="2555"/>
      <c r="D1109" s="2508"/>
      <c r="E1109" s="2508"/>
      <c r="F1109" s="2508"/>
      <c r="G1109" s="2556"/>
    </row>
    <row r="1110" spans="1:7" ht="15.75" thickBot="1">
      <c r="A1110" s="1284"/>
      <c r="B1110" s="1285"/>
      <c r="C1110" s="1285"/>
      <c r="D1110" s="1285"/>
      <c r="E1110" s="1285"/>
      <c r="F1110" s="1285"/>
      <c r="G1110" s="1286"/>
    </row>
    <row r="1111" spans="1:7" ht="15.75" thickBot="1">
      <c r="A1111" s="1299" t="s">
        <v>634</v>
      </c>
      <c r="B1111" s="2366" t="s">
        <v>2089</v>
      </c>
      <c r="C1111" s="2367"/>
      <c r="D1111" s="2367"/>
      <c r="E1111" s="2367"/>
      <c r="F1111" s="2367"/>
      <c r="G1111" s="2368"/>
    </row>
    <row r="1112" spans="1:7">
      <c r="A1112" s="2411" t="s">
        <v>306</v>
      </c>
      <c r="B1112" s="2412"/>
      <c r="C1112" s="2412"/>
      <c r="D1112" s="2412"/>
      <c r="E1112" s="2412"/>
      <c r="F1112" s="2412"/>
      <c r="G1112" s="2413"/>
    </row>
    <row r="1113" spans="1:7">
      <c r="A1113" s="2372" t="s">
        <v>2076</v>
      </c>
      <c r="B1113" s="2373"/>
      <c r="C1113" s="2373"/>
      <c r="D1113" s="2373"/>
      <c r="E1113" s="2373"/>
      <c r="F1113" s="2373"/>
      <c r="G1113" s="2374"/>
    </row>
    <row r="1114" spans="1:7">
      <c r="A1114" s="1474" t="s">
        <v>2077</v>
      </c>
      <c r="B1114" s="1306" t="s">
        <v>2078</v>
      </c>
      <c r="C1114" s="2588"/>
      <c r="D1114" s="2589"/>
      <c r="E1114" s="2589"/>
      <c r="F1114" s="2589"/>
      <c r="G1114" s="2590"/>
    </row>
    <row r="1115" spans="1:7">
      <c r="A1115" s="1475" t="s">
        <v>1973</v>
      </c>
      <c r="B1115" s="1476">
        <v>2</v>
      </c>
      <c r="C1115" s="2594"/>
      <c r="D1115" s="2440"/>
      <c r="E1115" s="2440"/>
      <c r="F1115" s="2440"/>
      <c r="G1115" s="2595"/>
    </row>
    <row r="1116" spans="1:7">
      <c r="A1116" s="1475" t="s">
        <v>1971</v>
      </c>
      <c r="B1116" s="1476">
        <v>2</v>
      </c>
      <c r="C1116" s="2594"/>
      <c r="D1116" s="2440"/>
      <c r="E1116" s="2440"/>
      <c r="F1116" s="2440"/>
      <c r="G1116" s="2595"/>
    </row>
    <row r="1117" spans="1:7" ht="15.75" thickBot="1">
      <c r="A1117" s="1477" t="s">
        <v>310</v>
      </c>
      <c r="B1117" s="1308">
        <f>ROUNDUP(SUM(B1115:B1116),2)</f>
        <v>4</v>
      </c>
      <c r="C1117" s="2555"/>
      <c r="D1117" s="2508"/>
      <c r="E1117" s="2508"/>
      <c r="F1117" s="2508"/>
      <c r="G1117" s="2556"/>
    </row>
    <row r="1118" spans="1:7" ht="15.75" thickBot="1">
      <c r="A1118" s="1462"/>
      <c r="B1118" s="1341"/>
      <c r="C1118" s="1416"/>
      <c r="D1118" s="1416"/>
      <c r="E1118" s="1416"/>
      <c r="F1118" s="1416"/>
      <c r="G1118" s="1463"/>
    </row>
    <row r="1119" spans="1:7" ht="15.75" thickBot="1">
      <c r="A1119" s="1299" t="s">
        <v>635</v>
      </c>
      <c r="B1119" s="2366" t="s">
        <v>2090</v>
      </c>
      <c r="C1119" s="2367"/>
      <c r="D1119" s="2367"/>
      <c r="E1119" s="2367"/>
      <c r="F1119" s="2367"/>
      <c r="G1119" s="2368"/>
    </row>
    <row r="1120" spans="1:7">
      <c r="A1120" s="2411" t="s">
        <v>306</v>
      </c>
      <c r="B1120" s="2412"/>
      <c r="C1120" s="2412"/>
      <c r="D1120" s="2412"/>
      <c r="E1120" s="2412"/>
      <c r="F1120" s="2412"/>
      <c r="G1120" s="2413"/>
    </row>
    <row r="1121" spans="1:7">
      <c r="A1121" s="2372" t="s">
        <v>2076</v>
      </c>
      <c r="B1121" s="2373"/>
      <c r="C1121" s="2373"/>
      <c r="D1121" s="2373"/>
      <c r="E1121" s="2373"/>
      <c r="F1121" s="2373"/>
      <c r="G1121" s="2374"/>
    </row>
    <row r="1122" spans="1:7">
      <c r="A1122" s="1474" t="s">
        <v>2077</v>
      </c>
      <c r="B1122" s="1306" t="s">
        <v>2078</v>
      </c>
      <c r="C1122" s="2588"/>
      <c r="D1122" s="2589"/>
      <c r="E1122" s="2589"/>
      <c r="F1122" s="2589"/>
      <c r="G1122" s="2590"/>
    </row>
    <row r="1123" spans="1:7">
      <c r="A1123" s="1475" t="s">
        <v>1973</v>
      </c>
      <c r="B1123" s="1476">
        <v>2</v>
      </c>
      <c r="C1123" s="1482"/>
      <c r="D1123" s="1285"/>
      <c r="E1123" s="1285"/>
      <c r="F1123" s="1285"/>
      <c r="G1123" s="1286"/>
    </row>
    <row r="1124" spans="1:7">
      <c r="A1124" s="1475" t="s">
        <v>1971</v>
      </c>
      <c r="B1124" s="1476">
        <v>2</v>
      </c>
      <c r="C1124" s="1482"/>
      <c r="D1124" s="1285"/>
      <c r="E1124" s="1285"/>
      <c r="F1124" s="1285"/>
      <c r="G1124" s="1286"/>
    </row>
    <row r="1125" spans="1:7" ht="15.75" thickBot="1">
      <c r="A1125" s="1477" t="s">
        <v>310</v>
      </c>
      <c r="B1125" s="1308">
        <f>SUM(B1123:B1124)</f>
        <v>4</v>
      </c>
      <c r="C1125" s="2555"/>
      <c r="D1125" s="2508"/>
      <c r="E1125" s="2508"/>
      <c r="F1125" s="2508"/>
      <c r="G1125" s="2556"/>
    </row>
    <row r="1126" spans="1:7" ht="15.75" thickBot="1">
      <c r="A1126" s="1462"/>
      <c r="B1126" s="1341"/>
      <c r="C1126" s="1416"/>
      <c r="D1126" s="1416"/>
      <c r="E1126" s="1416"/>
      <c r="F1126" s="1416"/>
      <c r="G1126" s="1463"/>
    </row>
    <row r="1127" spans="1:7" ht="15.75" thickBot="1">
      <c r="A1127" s="1299" t="s">
        <v>636</v>
      </c>
      <c r="B1127" s="2366" t="s">
        <v>2091</v>
      </c>
      <c r="C1127" s="2367"/>
      <c r="D1127" s="2367"/>
      <c r="E1127" s="2367"/>
      <c r="F1127" s="2367"/>
      <c r="G1127" s="2368"/>
    </row>
    <row r="1128" spans="1:7">
      <c r="A1128" s="2411" t="s">
        <v>306</v>
      </c>
      <c r="B1128" s="2412"/>
      <c r="C1128" s="2412"/>
      <c r="D1128" s="2412"/>
      <c r="E1128" s="2412"/>
      <c r="F1128" s="2412"/>
      <c r="G1128" s="2413"/>
    </row>
    <row r="1129" spans="1:7">
      <c r="A1129" s="2372" t="s">
        <v>2076</v>
      </c>
      <c r="B1129" s="2373"/>
      <c r="C1129" s="2373"/>
      <c r="D1129" s="2373"/>
      <c r="E1129" s="2373"/>
      <c r="F1129" s="2373"/>
      <c r="G1129" s="2374"/>
    </row>
    <row r="1130" spans="1:7">
      <c r="A1130" s="1474" t="s">
        <v>2077</v>
      </c>
      <c r="B1130" s="1306" t="s">
        <v>2078</v>
      </c>
      <c r="C1130" s="2588"/>
      <c r="D1130" s="2589"/>
      <c r="E1130" s="2589"/>
      <c r="F1130" s="2589"/>
      <c r="G1130" s="2590"/>
    </row>
    <row r="1131" spans="1:7">
      <c r="A1131" s="1475" t="s">
        <v>2085</v>
      </c>
      <c r="B1131" s="1476">
        <v>1</v>
      </c>
      <c r="C1131" s="1482" t="s">
        <v>2092</v>
      </c>
      <c r="D1131" s="1285"/>
      <c r="E1131" s="1285"/>
      <c r="F1131" s="1285"/>
      <c r="G1131" s="1286"/>
    </row>
    <row r="1132" spans="1:7">
      <c r="A1132" s="1475" t="s">
        <v>2093</v>
      </c>
      <c r="B1132" s="1476">
        <v>1</v>
      </c>
      <c r="C1132" s="1482" t="s">
        <v>2092</v>
      </c>
      <c r="D1132" s="1285"/>
      <c r="E1132" s="1285"/>
      <c r="F1132" s="1285"/>
      <c r="G1132" s="1286"/>
    </row>
    <row r="1133" spans="1:7" ht="15.75" thickBot="1">
      <c r="A1133" s="1477" t="s">
        <v>310</v>
      </c>
      <c r="B1133" s="1308">
        <f>ROUNDUP(SUM(B1131:B1132),2)</f>
        <v>2</v>
      </c>
      <c r="C1133" s="2555"/>
      <c r="D1133" s="2508"/>
      <c r="E1133" s="2508"/>
      <c r="F1133" s="2508"/>
      <c r="G1133" s="2556"/>
    </row>
    <row r="1134" spans="1:7" ht="15.75" thickBot="1">
      <c r="A1134" s="1462"/>
      <c r="B1134" s="1341"/>
      <c r="C1134" s="1416"/>
      <c r="D1134" s="1416"/>
      <c r="E1134" s="1416"/>
      <c r="F1134" s="1416"/>
      <c r="G1134" s="1463"/>
    </row>
    <row r="1135" spans="1:7" ht="15.75" thickBot="1">
      <c r="A1135" s="1299" t="s">
        <v>637</v>
      </c>
      <c r="B1135" s="2366" t="s">
        <v>2094</v>
      </c>
      <c r="C1135" s="2367"/>
      <c r="D1135" s="2367"/>
      <c r="E1135" s="2367"/>
      <c r="F1135" s="2367"/>
      <c r="G1135" s="2368"/>
    </row>
    <row r="1136" spans="1:7">
      <c r="A1136" s="2411" t="s">
        <v>306</v>
      </c>
      <c r="B1136" s="2412"/>
      <c r="C1136" s="2412"/>
      <c r="D1136" s="2412"/>
      <c r="E1136" s="2412"/>
      <c r="F1136" s="2412"/>
      <c r="G1136" s="2413"/>
    </row>
    <row r="1137" spans="1:7">
      <c r="A1137" s="2372" t="s">
        <v>2076</v>
      </c>
      <c r="B1137" s="2373"/>
      <c r="C1137" s="2373"/>
      <c r="D1137" s="2373"/>
      <c r="E1137" s="2373"/>
      <c r="F1137" s="2373"/>
      <c r="G1137" s="2374"/>
    </row>
    <row r="1138" spans="1:7">
      <c r="A1138" s="1474" t="s">
        <v>2077</v>
      </c>
      <c r="B1138" s="1306" t="s">
        <v>2078</v>
      </c>
      <c r="C1138" s="2588"/>
      <c r="D1138" s="2589"/>
      <c r="E1138" s="2589"/>
      <c r="F1138" s="2589"/>
      <c r="G1138" s="2590"/>
    </row>
    <row r="1139" spans="1:7">
      <c r="A1139" s="1475" t="s">
        <v>1969</v>
      </c>
      <c r="B1139" s="1476">
        <v>1</v>
      </c>
      <c r="C1139" s="2594"/>
      <c r="D1139" s="2440"/>
      <c r="E1139" s="2440"/>
      <c r="F1139" s="2440"/>
      <c r="G1139" s="2595"/>
    </row>
    <row r="1140" spans="1:7" ht="15.75" thickBot="1">
      <c r="A1140" s="1477" t="s">
        <v>310</v>
      </c>
      <c r="B1140" s="1308">
        <f>ROUNDUP(SUM(B1139:B1139),2)</f>
        <v>1</v>
      </c>
      <c r="C1140" s="2555"/>
      <c r="D1140" s="2508"/>
      <c r="E1140" s="2508"/>
      <c r="F1140" s="2508"/>
      <c r="G1140" s="2556"/>
    </row>
    <row r="1141" spans="1:7" ht="15.75" thickBot="1">
      <c r="A1141" s="1462"/>
      <c r="B1141" s="1341"/>
      <c r="C1141" s="1416"/>
      <c r="D1141" s="1416"/>
      <c r="E1141" s="1416"/>
      <c r="F1141" s="1416"/>
      <c r="G1141" s="1463"/>
    </row>
    <row r="1142" spans="1:7" ht="15.75" thickBot="1">
      <c r="A1142" s="1299" t="s">
        <v>638</v>
      </c>
      <c r="B1142" s="2366" t="s">
        <v>2095</v>
      </c>
      <c r="C1142" s="2367"/>
      <c r="D1142" s="2367"/>
      <c r="E1142" s="2367"/>
      <c r="F1142" s="2367"/>
      <c r="G1142" s="2368"/>
    </row>
    <row r="1143" spans="1:7" ht="15.75" thickBot="1">
      <c r="A1143" s="1299" t="s">
        <v>2096</v>
      </c>
      <c r="B1143" s="2366" t="s">
        <v>2097</v>
      </c>
      <c r="C1143" s="2367"/>
      <c r="D1143" s="2367"/>
      <c r="E1143" s="2367"/>
      <c r="F1143" s="2367"/>
      <c r="G1143" s="2368"/>
    </row>
    <row r="1144" spans="1:7">
      <c r="A1144" s="2411" t="s">
        <v>306</v>
      </c>
      <c r="B1144" s="2412"/>
      <c r="C1144" s="2412"/>
      <c r="D1144" s="2412"/>
      <c r="E1144" s="2412"/>
      <c r="F1144" s="2412"/>
      <c r="G1144" s="2413"/>
    </row>
    <row r="1145" spans="1:7">
      <c r="A1145" s="2372" t="s">
        <v>2076</v>
      </c>
      <c r="B1145" s="2373"/>
      <c r="C1145" s="2373"/>
      <c r="D1145" s="2373"/>
      <c r="E1145" s="2373"/>
      <c r="F1145" s="2373"/>
      <c r="G1145" s="2374"/>
    </row>
    <row r="1146" spans="1:7">
      <c r="A1146" s="1474" t="s">
        <v>1847</v>
      </c>
      <c r="B1146" s="1306" t="s">
        <v>2098</v>
      </c>
      <c r="C1146" s="2599"/>
      <c r="D1146" s="2377"/>
      <c r="E1146" s="2377"/>
      <c r="F1146" s="1483"/>
      <c r="G1146" s="1484"/>
    </row>
    <row r="1147" spans="1:7">
      <c r="A1147" s="1475" t="s">
        <v>2099</v>
      </c>
      <c r="B1147" s="1476">
        <v>2</v>
      </c>
      <c r="C1147" s="2591"/>
      <c r="D1147" s="2592"/>
      <c r="E1147" s="2592"/>
      <c r="F1147" s="2592"/>
      <c r="G1147" s="2593"/>
    </row>
    <row r="1148" spans="1:7">
      <c r="A1148" s="1475" t="s">
        <v>2100</v>
      </c>
      <c r="B1148" s="1476">
        <v>2</v>
      </c>
      <c r="C1148" s="2594"/>
      <c r="D1148" s="2440"/>
      <c r="E1148" s="2440"/>
      <c r="F1148" s="2440"/>
      <c r="G1148" s="2595"/>
    </row>
    <row r="1149" spans="1:7" ht="15.75" thickBot="1">
      <c r="A1149" s="1477" t="s">
        <v>2101</v>
      </c>
      <c r="B1149" s="1308">
        <f>ROUNDUP(B1147+B1148,2)</f>
        <v>4</v>
      </c>
      <c r="C1149" s="2479"/>
      <c r="D1149" s="2480"/>
      <c r="E1149" s="2480"/>
      <c r="F1149" s="2480"/>
      <c r="G1149" s="2481"/>
    </row>
    <row r="1150" spans="1:7" ht="15.75" thickBot="1">
      <c r="A1150" s="1284"/>
      <c r="B1150" s="1285"/>
      <c r="C1150" s="1285"/>
      <c r="D1150" s="1285"/>
      <c r="E1150" s="1285"/>
      <c r="F1150" s="1285"/>
      <c r="G1150" s="1286"/>
    </row>
    <row r="1151" spans="1:7" ht="15.75" thickBot="1">
      <c r="A1151" s="1299" t="s">
        <v>2102</v>
      </c>
      <c r="B1151" s="2366" t="s">
        <v>2103</v>
      </c>
      <c r="C1151" s="2367"/>
      <c r="D1151" s="2367"/>
      <c r="E1151" s="2367"/>
      <c r="F1151" s="2367"/>
      <c r="G1151" s="2368"/>
    </row>
    <row r="1152" spans="1:7">
      <c r="A1152" s="2411" t="s">
        <v>306</v>
      </c>
      <c r="B1152" s="2412"/>
      <c r="C1152" s="2412"/>
      <c r="D1152" s="2412"/>
      <c r="E1152" s="2412"/>
      <c r="F1152" s="2412"/>
      <c r="G1152" s="2413"/>
    </row>
    <row r="1153" spans="1:7">
      <c r="A1153" s="2372" t="s">
        <v>2076</v>
      </c>
      <c r="B1153" s="2373"/>
      <c r="C1153" s="2373"/>
      <c r="D1153" s="2373"/>
      <c r="E1153" s="2373"/>
      <c r="F1153" s="2373"/>
      <c r="G1153" s="2374"/>
    </row>
    <row r="1154" spans="1:7">
      <c r="A1154" s="1474" t="s">
        <v>1847</v>
      </c>
      <c r="B1154" s="1485" t="s">
        <v>2104</v>
      </c>
      <c r="C1154" s="2599"/>
      <c r="D1154" s="2377"/>
      <c r="E1154" s="2377"/>
      <c r="F1154" s="2377"/>
      <c r="G1154" s="1484"/>
    </row>
    <row r="1155" spans="1:7">
      <c r="A1155" s="1475" t="s">
        <v>2099</v>
      </c>
      <c r="B1155" s="1486">
        <v>1</v>
      </c>
      <c r="C1155" s="2591"/>
      <c r="D1155" s="2592"/>
      <c r="E1155" s="2592"/>
      <c r="F1155" s="2592"/>
      <c r="G1155" s="2593"/>
    </row>
    <row r="1156" spans="1:7">
      <c r="A1156" s="1475" t="s">
        <v>2105</v>
      </c>
      <c r="B1156" s="1486">
        <v>1</v>
      </c>
      <c r="C1156" s="2594"/>
      <c r="D1156" s="2440"/>
      <c r="E1156" s="2440"/>
      <c r="F1156" s="2440"/>
      <c r="G1156" s="2595"/>
    </row>
    <row r="1157" spans="1:7" ht="15.75" thickBot="1">
      <c r="A1157" s="1477" t="s">
        <v>2101</v>
      </c>
      <c r="B1157" s="1308">
        <f>ROUNDUP(B1155+B1156,2)</f>
        <v>2</v>
      </c>
      <c r="C1157" s="2479"/>
      <c r="D1157" s="2480"/>
      <c r="E1157" s="2480"/>
      <c r="F1157" s="2480"/>
      <c r="G1157" s="2481"/>
    </row>
    <row r="1158" spans="1:7" ht="15.75" thickBot="1">
      <c r="A1158" s="1284"/>
      <c r="B1158" s="1285"/>
      <c r="C1158" s="1285"/>
      <c r="D1158" s="1285"/>
      <c r="E1158" s="1285"/>
      <c r="F1158" s="1285"/>
      <c r="G1158" s="1286"/>
    </row>
    <row r="1159" spans="1:7" ht="15.75" thickBot="1">
      <c r="A1159" s="1299" t="s">
        <v>2106</v>
      </c>
      <c r="B1159" s="2366" t="s">
        <v>2107</v>
      </c>
      <c r="C1159" s="2367"/>
      <c r="D1159" s="2367"/>
      <c r="E1159" s="2367"/>
      <c r="F1159" s="2367"/>
      <c r="G1159" s="2368"/>
    </row>
    <row r="1160" spans="1:7">
      <c r="A1160" s="2411" t="s">
        <v>306</v>
      </c>
      <c r="B1160" s="2412"/>
      <c r="C1160" s="2412"/>
      <c r="D1160" s="2412"/>
      <c r="E1160" s="2412"/>
      <c r="F1160" s="2412"/>
      <c r="G1160" s="2413"/>
    </row>
    <row r="1161" spans="1:7">
      <c r="A1161" s="2372" t="s">
        <v>2076</v>
      </c>
      <c r="B1161" s="2373"/>
      <c r="C1161" s="2373"/>
      <c r="D1161" s="2373"/>
      <c r="E1161" s="2373"/>
      <c r="F1161" s="2373"/>
      <c r="G1161" s="2374"/>
    </row>
    <row r="1162" spans="1:7">
      <c r="A1162" s="1474" t="s">
        <v>1847</v>
      </c>
      <c r="B1162" s="1306" t="s">
        <v>2108</v>
      </c>
      <c r="C1162" s="2599"/>
      <c r="D1162" s="2377"/>
      <c r="E1162" s="2377"/>
      <c r="F1162" s="2377"/>
      <c r="G1162" s="2378"/>
    </row>
    <row r="1163" spans="1:7">
      <c r="A1163" s="1475" t="s">
        <v>2099</v>
      </c>
      <c r="B1163" s="1476">
        <v>1</v>
      </c>
      <c r="C1163" s="2591"/>
      <c r="D1163" s="2592"/>
      <c r="E1163" s="2592"/>
      <c r="F1163" s="2592"/>
      <c r="G1163" s="2593"/>
    </row>
    <row r="1164" spans="1:7">
      <c r="A1164" s="1475" t="s">
        <v>2105</v>
      </c>
      <c r="B1164" s="1476">
        <v>1</v>
      </c>
      <c r="C1164" s="2594"/>
      <c r="D1164" s="2440"/>
      <c r="E1164" s="2440"/>
      <c r="F1164" s="2440"/>
      <c r="G1164" s="2595"/>
    </row>
    <row r="1165" spans="1:7" ht="15.75" thickBot="1">
      <c r="A1165" s="1477" t="s">
        <v>2101</v>
      </c>
      <c r="B1165" s="1308">
        <f>ROUNDUP(B1163+B1164,2)</f>
        <v>2</v>
      </c>
      <c r="C1165" s="2479"/>
      <c r="D1165" s="2480"/>
      <c r="E1165" s="2480"/>
      <c r="F1165" s="2480"/>
      <c r="G1165" s="2481"/>
    </row>
    <row r="1166" spans="1:7" ht="15.75" thickBot="1">
      <c r="A1166" s="1284"/>
      <c r="B1166" s="1285"/>
      <c r="C1166" s="1285"/>
      <c r="D1166" s="1285"/>
      <c r="E1166" s="1285"/>
      <c r="F1166" s="1285"/>
      <c r="G1166" s="1286"/>
    </row>
    <row r="1167" spans="1:7" ht="15.75" thickBot="1">
      <c r="A1167" s="1299" t="s">
        <v>2109</v>
      </c>
      <c r="B1167" s="2366" t="s">
        <v>2110</v>
      </c>
      <c r="C1167" s="2367"/>
      <c r="D1167" s="2367"/>
      <c r="E1167" s="2367"/>
      <c r="F1167" s="2367"/>
      <c r="G1167" s="2368"/>
    </row>
    <row r="1168" spans="1:7">
      <c r="A1168" s="2411" t="s">
        <v>306</v>
      </c>
      <c r="B1168" s="2412"/>
      <c r="C1168" s="2412"/>
      <c r="D1168" s="2412"/>
      <c r="E1168" s="2412"/>
      <c r="F1168" s="2412"/>
      <c r="G1168" s="2413"/>
    </row>
    <row r="1169" spans="1:7">
      <c r="A1169" s="2372" t="s">
        <v>2076</v>
      </c>
      <c r="B1169" s="2373"/>
      <c r="C1169" s="2373"/>
      <c r="D1169" s="2373"/>
      <c r="E1169" s="2373"/>
      <c r="F1169" s="2373"/>
      <c r="G1169" s="2374"/>
    </row>
    <row r="1170" spans="1:7">
      <c r="A1170" s="1474" t="s">
        <v>1847</v>
      </c>
      <c r="B1170" s="1306" t="s">
        <v>281</v>
      </c>
      <c r="C1170" s="2599"/>
      <c r="D1170" s="2377"/>
      <c r="E1170" s="2377"/>
      <c r="F1170" s="2377"/>
      <c r="G1170" s="1484"/>
    </row>
    <row r="1171" spans="1:7">
      <c r="A1171" s="1475" t="s">
        <v>2105</v>
      </c>
      <c r="B1171" s="1486">
        <v>1</v>
      </c>
      <c r="C1171" s="1285"/>
      <c r="D1171" s="1285"/>
      <c r="E1171" s="1487"/>
      <c r="F1171" s="1487"/>
      <c r="G1171" s="1488"/>
    </row>
    <row r="1172" spans="1:7">
      <c r="A1172" s="1475" t="s">
        <v>2111</v>
      </c>
      <c r="B1172" s="1486">
        <v>1</v>
      </c>
      <c r="C1172" s="1285"/>
      <c r="D1172" s="1285"/>
      <c r="E1172" s="1285"/>
      <c r="F1172" s="1285"/>
      <c r="G1172" s="1286"/>
    </row>
    <row r="1173" spans="1:7">
      <c r="A1173" s="1475" t="s">
        <v>2112</v>
      </c>
      <c r="B1173" s="1489">
        <v>1</v>
      </c>
      <c r="C1173" s="1285"/>
      <c r="D1173" s="1285"/>
      <c r="E1173" s="1285" t="s">
        <v>2113</v>
      </c>
      <c r="F1173" s="1285"/>
      <c r="G1173" s="1286"/>
    </row>
    <row r="1174" spans="1:7">
      <c r="A1174" s="1475" t="s">
        <v>2114</v>
      </c>
      <c r="B1174" s="1489">
        <v>1</v>
      </c>
      <c r="C1174" s="1285"/>
      <c r="D1174" s="1285"/>
      <c r="E1174" s="1285"/>
      <c r="F1174" s="1285"/>
      <c r="G1174" s="1286"/>
    </row>
    <row r="1175" spans="1:7">
      <c r="A1175" s="1490"/>
      <c r="B1175" s="1489"/>
      <c r="C1175" s="1285"/>
      <c r="D1175" s="1285"/>
      <c r="E1175" s="1285"/>
      <c r="F1175" s="1285"/>
      <c r="G1175" s="1286"/>
    </row>
    <row r="1176" spans="1:7">
      <c r="A1176" s="1490"/>
      <c r="B1176" s="1489"/>
      <c r="C1176" s="1285"/>
      <c r="D1176" s="1285"/>
      <c r="E1176" s="1285"/>
      <c r="F1176" s="1285"/>
      <c r="G1176" s="1286"/>
    </row>
    <row r="1177" spans="1:7">
      <c r="A1177" s="1490"/>
      <c r="B1177" s="1489"/>
      <c r="C1177" s="1285"/>
      <c r="D1177" s="1285"/>
      <c r="E1177" s="1285"/>
      <c r="F1177" s="1285"/>
      <c r="G1177" s="1286"/>
    </row>
    <row r="1178" spans="1:7" ht="15.75" thickBot="1">
      <c r="A1178" s="1477" t="s">
        <v>2101</v>
      </c>
      <c r="B1178" s="1308">
        <f>ROUNDUP(B1171+B1172+B1173+B1174,2)</f>
        <v>4</v>
      </c>
      <c r="C1178" s="2479"/>
      <c r="D1178" s="2480"/>
      <c r="E1178" s="2480"/>
      <c r="F1178" s="2480"/>
      <c r="G1178" s="2481"/>
    </row>
    <row r="1179" spans="1:7" ht="15.75" thickBot="1">
      <c r="A1179" s="1284"/>
      <c r="B1179" s="1285"/>
      <c r="C1179" s="1285"/>
      <c r="D1179" s="1285"/>
      <c r="E1179" s="1285"/>
      <c r="F1179" s="1285"/>
      <c r="G1179" s="1286"/>
    </row>
    <row r="1180" spans="1:7" ht="15.75" thickBot="1">
      <c r="A1180" s="1299" t="s">
        <v>2115</v>
      </c>
      <c r="B1180" s="2366" t="s">
        <v>2116</v>
      </c>
      <c r="C1180" s="2367"/>
      <c r="D1180" s="2367"/>
      <c r="E1180" s="2367"/>
      <c r="F1180" s="2367"/>
      <c r="G1180" s="2368"/>
    </row>
    <row r="1181" spans="1:7">
      <c r="A1181" s="2411" t="s">
        <v>306</v>
      </c>
      <c r="B1181" s="2412"/>
      <c r="C1181" s="2412"/>
      <c r="D1181" s="2412"/>
      <c r="E1181" s="2412"/>
      <c r="F1181" s="2412"/>
      <c r="G1181" s="2413"/>
    </row>
    <row r="1182" spans="1:7">
      <c r="A1182" s="2372" t="s">
        <v>2076</v>
      </c>
      <c r="B1182" s="2373"/>
      <c r="C1182" s="2373"/>
      <c r="D1182" s="2373"/>
      <c r="E1182" s="2373"/>
      <c r="F1182" s="2373"/>
      <c r="G1182" s="2374"/>
    </row>
    <row r="1183" spans="1:7">
      <c r="A1183" s="1474" t="s">
        <v>1847</v>
      </c>
      <c r="B1183" s="1306" t="s">
        <v>281</v>
      </c>
      <c r="C1183" s="2599"/>
      <c r="D1183" s="2377"/>
      <c r="E1183" s="2377"/>
      <c r="F1183" s="2377"/>
      <c r="G1183" s="1484"/>
    </row>
    <row r="1184" spans="1:7">
      <c r="A1184" s="1475" t="s">
        <v>2105</v>
      </c>
      <c r="B1184" s="1476">
        <v>1</v>
      </c>
      <c r="C1184" s="1491"/>
      <c r="D1184" s="1487"/>
      <c r="E1184" s="1487"/>
      <c r="F1184" s="1487"/>
      <c r="G1184" s="1488"/>
    </row>
    <row r="1185" spans="1:7">
      <c r="A1185" s="1475" t="s">
        <v>2099</v>
      </c>
      <c r="B1185" s="1476">
        <v>1</v>
      </c>
      <c r="C1185" s="1482"/>
      <c r="D1185" s="1285"/>
      <c r="E1185" s="1285"/>
      <c r="F1185" s="1285"/>
      <c r="G1185" s="1286"/>
    </row>
    <row r="1186" spans="1:7">
      <c r="A1186" s="1490" t="s">
        <v>2112</v>
      </c>
      <c r="B1186" s="1492">
        <v>1</v>
      </c>
      <c r="C1186" s="1482"/>
      <c r="D1186" s="1285"/>
      <c r="E1186" s="1285"/>
      <c r="F1186" s="1285"/>
      <c r="G1186" s="1286"/>
    </row>
    <row r="1187" spans="1:7">
      <c r="A1187" s="1490" t="s">
        <v>2114</v>
      </c>
      <c r="B1187" s="1492">
        <v>1</v>
      </c>
      <c r="C1187" s="1482"/>
      <c r="D1187" s="1285"/>
      <c r="E1187" s="1285"/>
      <c r="F1187" s="1285"/>
      <c r="G1187" s="1286"/>
    </row>
    <row r="1188" spans="1:7">
      <c r="A1188" s="1490"/>
      <c r="B1188" s="1492"/>
      <c r="C1188" s="1482"/>
      <c r="D1188" s="1285"/>
      <c r="E1188" s="1285"/>
      <c r="F1188" s="1285"/>
      <c r="G1188" s="1286"/>
    </row>
    <row r="1189" spans="1:7">
      <c r="A1189" s="1490"/>
      <c r="B1189" s="1492"/>
      <c r="C1189" s="1482"/>
      <c r="D1189" s="1285"/>
      <c r="E1189" s="1285"/>
      <c r="F1189" s="1285"/>
      <c r="G1189" s="1286"/>
    </row>
    <row r="1190" spans="1:7">
      <c r="A1190" s="1490"/>
      <c r="B1190" s="1492"/>
      <c r="C1190" s="1482"/>
      <c r="D1190" s="1285"/>
      <c r="E1190" s="1285"/>
      <c r="F1190" s="1285"/>
      <c r="G1190" s="1286"/>
    </row>
    <row r="1191" spans="1:7">
      <c r="A1191" s="1490"/>
      <c r="B1191" s="1492"/>
      <c r="C1191" s="1482"/>
      <c r="D1191" s="1285"/>
      <c r="E1191" s="1285"/>
      <c r="F1191" s="1285"/>
      <c r="G1191" s="1286"/>
    </row>
    <row r="1192" spans="1:7" ht="15.75" thickBot="1">
      <c r="A1192" s="1477" t="s">
        <v>2101</v>
      </c>
      <c r="B1192" s="1308">
        <f>ROUNDUP(B1184+B1185+B1186+B1187,2)</f>
        <v>4</v>
      </c>
      <c r="C1192" s="2479"/>
      <c r="D1192" s="2480"/>
      <c r="E1192" s="2480"/>
      <c r="F1192" s="2480"/>
      <c r="G1192" s="2481"/>
    </row>
    <row r="1193" spans="1:7" ht="15.75" thickBot="1">
      <c r="A1193" s="1493"/>
      <c r="B1193" s="1493"/>
      <c r="C1193" s="1493"/>
      <c r="D1193" s="1493"/>
      <c r="E1193" s="1493"/>
      <c r="F1193" s="1493"/>
      <c r="G1193" s="1493"/>
    </row>
    <row r="1194" spans="1:7" ht="15.75" thickBot="1">
      <c r="A1194" s="1299" t="s">
        <v>2117</v>
      </c>
      <c r="B1194" s="2366" t="s">
        <v>2118</v>
      </c>
      <c r="C1194" s="2367"/>
      <c r="D1194" s="2367"/>
      <c r="E1194" s="2367"/>
      <c r="F1194" s="2367"/>
      <c r="G1194" s="2368"/>
    </row>
    <row r="1195" spans="1:7">
      <c r="A1195" s="2411" t="s">
        <v>306</v>
      </c>
      <c r="B1195" s="2412"/>
      <c r="C1195" s="2412"/>
      <c r="D1195" s="2412"/>
      <c r="E1195" s="2412"/>
      <c r="F1195" s="2412"/>
      <c r="G1195" s="2413"/>
    </row>
    <row r="1196" spans="1:7">
      <c r="A1196" s="2372" t="s">
        <v>2076</v>
      </c>
      <c r="B1196" s="2373"/>
      <c r="C1196" s="2373"/>
      <c r="D1196" s="2373"/>
      <c r="E1196" s="2373"/>
      <c r="F1196" s="2373"/>
      <c r="G1196" s="2374"/>
    </row>
    <row r="1197" spans="1:7">
      <c r="A1197" s="1474" t="s">
        <v>1847</v>
      </c>
      <c r="B1197" s="1306" t="s">
        <v>281</v>
      </c>
      <c r="C1197" s="2377"/>
      <c r="D1197" s="2377"/>
      <c r="E1197" s="2377"/>
      <c r="F1197" s="2377"/>
      <c r="G1197" s="1484"/>
    </row>
    <row r="1198" spans="1:7">
      <c r="A1198" s="1475" t="s">
        <v>2105</v>
      </c>
      <c r="B1198" s="1476">
        <v>1</v>
      </c>
      <c r="C1198" s="1487"/>
      <c r="D1198" s="1487"/>
      <c r="E1198" s="1487"/>
      <c r="F1198" s="1487"/>
      <c r="G1198" s="1488"/>
    </row>
    <row r="1199" spans="1:7">
      <c r="A1199" s="1475" t="s">
        <v>2099</v>
      </c>
      <c r="B1199" s="1476">
        <v>1</v>
      </c>
      <c r="C1199" s="1285"/>
      <c r="D1199" s="1285"/>
      <c r="E1199" s="1285"/>
      <c r="F1199" s="1285"/>
      <c r="G1199" s="1286"/>
    </row>
    <row r="1200" spans="1:7">
      <c r="A1200" s="1475" t="s">
        <v>2112</v>
      </c>
      <c r="B1200" s="1476">
        <v>2</v>
      </c>
      <c r="C1200" s="1285"/>
      <c r="D1200" s="1285"/>
      <c r="E1200" s="1285" t="s">
        <v>2119</v>
      </c>
      <c r="F1200" s="1285"/>
      <c r="G1200" s="1286"/>
    </row>
    <row r="1201" spans="1:7">
      <c r="A1201" s="1475" t="s">
        <v>2114</v>
      </c>
      <c r="B1201" s="1476">
        <v>2</v>
      </c>
      <c r="C1201" s="1285"/>
      <c r="D1201" s="1285"/>
      <c r="E1201" s="1285"/>
      <c r="F1201" s="1285"/>
      <c r="G1201" s="1286"/>
    </row>
    <row r="1202" spans="1:7">
      <c r="A1202" s="1475"/>
      <c r="B1202" s="1476"/>
      <c r="C1202" s="1285"/>
      <c r="D1202" s="1285"/>
      <c r="E1202" s="1285"/>
      <c r="F1202" s="1285"/>
      <c r="G1202" s="1286"/>
    </row>
    <row r="1203" spans="1:7">
      <c r="A1203" s="1475"/>
      <c r="B1203" s="1476"/>
      <c r="C1203" s="1285"/>
      <c r="D1203" s="1285"/>
      <c r="E1203" s="1285"/>
      <c r="F1203" s="1285"/>
      <c r="G1203" s="1286"/>
    </row>
    <row r="1204" spans="1:7">
      <c r="A1204" s="1475"/>
      <c r="B1204" s="1476"/>
      <c r="C1204" s="1285"/>
      <c r="D1204" s="1285"/>
      <c r="E1204" s="1285"/>
      <c r="F1204" s="1285"/>
      <c r="G1204" s="1286"/>
    </row>
    <row r="1205" spans="1:7" ht="15.75" thickBot="1">
      <c r="A1205" s="1494" t="s">
        <v>2101</v>
      </c>
      <c r="B1205" s="1308">
        <f>ROUNDUP(B1198+B1200+B1201+B1199,2)</f>
        <v>6</v>
      </c>
      <c r="C1205" s="2480"/>
      <c r="D1205" s="2480"/>
      <c r="E1205" s="2480"/>
      <c r="F1205" s="2480"/>
      <c r="G1205" s="2481"/>
    </row>
    <row r="1206" spans="1:7" ht="15.75" thickBot="1">
      <c r="A1206" s="1284"/>
      <c r="B1206" s="1285"/>
      <c r="C1206" s="1285"/>
      <c r="D1206" s="1285"/>
      <c r="E1206" s="1285"/>
      <c r="F1206" s="1285"/>
      <c r="G1206" s="1286"/>
    </row>
    <row r="1207" spans="1:7" ht="15.75" thickBot="1">
      <c r="A1207" s="1299" t="s">
        <v>2120</v>
      </c>
      <c r="B1207" s="2366" t="s">
        <v>2121</v>
      </c>
      <c r="C1207" s="2367"/>
      <c r="D1207" s="2367"/>
      <c r="E1207" s="2367"/>
      <c r="F1207" s="2367"/>
      <c r="G1207" s="2368"/>
    </row>
    <row r="1208" spans="1:7">
      <c r="A1208" s="2411" t="s">
        <v>306</v>
      </c>
      <c r="B1208" s="2412"/>
      <c r="C1208" s="2412"/>
      <c r="D1208" s="2412"/>
      <c r="E1208" s="2412"/>
      <c r="F1208" s="2412"/>
      <c r="G1208" s="2413"/>
    </row>
    <row r="1209" spans="1:7">
      <c r="A1209" s="2372" t="s">
        <v>2076</v>
      </c>
      <c r="B1209" s="2373"/>
      <c r="C1209" s="2373"/>
      <c r="D1209" s="2373"/>
      <c r="E1209" s="2373"/>
      <c r="F1209" s="2373"/>
      <c r="G1209" s="2374"/>
    </row>
    <row r="1210" spans="1:7">
      <c r="A1210" s="1474" t="s">
        <v>1847</v>
      </c>
      <c r="B1210" s="1306" t="s">
        <v>281</v>
      </c>
      <c r="C1210" s="2599" t="s">
        <v>2122</v>
      </c>
      <c r="D1210" s="2377"/>
      <c r="E1210" s="2377"/>
      <c r="F1210" s="2377"/>
      <c r="G1210" s="1484"/>
    </row>
    <row r="1211" spans="1:7">
      <c r="A1211" s="1475" t="s">
        <v>2105</v>
      </c>
      <c r="B1211" s="1476">
        <v>1</v>
      </c>
      <c r="C1211" s="2591">
        <f>0.45*0.9*4</f>
        <v>1.62</v>
      </c>
      <c r="D1211" s="2592"/>
      <c r="E1211" s="2592"/>
      <c r="F1211" s="2592"/>
      <c r="G1211" s="2593"/>
    </row>
    <row r="1212" spans="1:7">
      <c r="A1212" s="1475" t="s">
        <v>2099</v>
      </c>
      <c r="B1212" s="1476">
        <v>1</v>
      </c>
      <c r="C1212" s="2594"/>
      <c r="D1212" s="2440"/>
      <c r="E1212" s="2440"/>
      <c r="F1212" s="2440"/>
      <c r="G1212" s="2595"/>
    </row>
    <row r="1213" spans="1:7">
      <c r="A1213" s="1475" t="s">
        <v>2123</v>
      </c>
      <c r="B1213" s="1492">
        <v>1</v>
      </c>
      <c r="C1213" s="2594"/>
      <c r="D1213" s="2440"/>
      <c r="E1213" s="2440"/>
      <c r="F1213" s="2440"/>
      <c r="G1213" s="2595"/>
    </row>
    <row r="1214" spans="1:7">
      <c r="A1214" s="1475" t="s">
        <v>2124</v>
      </c>
      <c r="B1214" s="1492">
        <v>1</v>
      </c>
      <c r="C1214" s="2594"/>
      <c r="D1214" s="2440"/>
      <c r="E1214" s="2440"/>
      <c r="F1214" s="2440"/>
      <c r="G1214" s="2595"/>
    </row>
    <row r="1215" spans="1:7" ht="15.75" thickBot="1">
      <c r="A1215" s="1477" t="s">
        <v>2101</v>
      </c>
      <c r="B1215" s="1308">
        <f>SUM(B1211:B1214)</f>
        <v>4</v>
      </c>
      <c r="C1215" s="2479"/>
      <c r="D1215" s="2480"/>
      <c r="E1215" s="2480"/>
      <c r="F1215" s="2480"/>
      <c r="G1215" s="2481"/>
    </row>
    <row r="1216" spans="1:7" ht="15.75" thickBot="1">
      <c r="A1216" s="1495"/>
      <c r="B1216" s="1493"/>
      <c r="C1216" s="1493"/>
      <c r="D1216" s="1493"/>
      <c r="E1216" s="1493"/>
      <c r="F1216" s="1493"/>
      <c r="G1216" s="1496"/>
    </row>
    <row r="1217" spans="1:7" ht="15.75" thickBot="1">
      <c r="A1217" s="1299" t="s">
        <v>639</v>
      </c>
      <c r="B1217" s="2366" t="s">
        <v>2125</v>
      </c>
      <c r="C1217" s="2367"/>
      <c r="D1217" s="2367"/>
      <c r="E1217" s="2367"/>
      <c r="F1217" s="2367"/>
      <c r="G1217" s="2368"/>
    </row>
    <row r="1218" spans="1:7" ht="15.75" thickBot="1">
      <c r="A1218" s="1299" t="s">
        <v>2126</v>
      </c>
      <c r="B1218" s="2366" t="s">
        <v>2127</v>
      </c>
      <c r="C1218" s="2367"/>
      <c r="D1218" s="2367"/>
      <c r="E1218" s="2367"/>
      <c r="F1218" s="2367"/>
      <c r="G1218" s="2368"/>
    </row>
    <row r="1219" spans="1:7">
      <c r="A1219" s="2411" t="s">
        <v>306</v>
      </c>
      <c r="B1219" s="2412"/>
      <c r="C1219" s="2412"/>
      <c r="D1219" s="2412"/>
      <c r="E1219" s="2412"/>
      <c r="F1219" s="2412"/>
      <c r="G1219" s="2413"/>
    </row>
    <row r="1220" spans="1:7">
      <c r="A1220" s="2372" t="s">
        <v>2076</v>
      </c>
      <c r="B1220" s="2373"/>
      <c r="C1220" s="2373"/>
      <c r="D1220" s="2373"/>
      <c r="E1220" s="2373"/>
      <c r="F1220" s="2373"/>
      <c r="G1220" s="2374"/>
    </row>
    <row r="1221" spans="1:7">
      <c r="A1221" s="1474" t="s">
        <v>2128</v>
      </c>
      <c r="B1221" s="1306" t="s">
        <v>281</v>
      </c>
      <c r="C1221" s="1497"/>
      <c r="D1221" s="1498"/>
      <c r="E1221" s="2377"/>
      <c r="F1221" s="2377"/>
      <c r="G1221" s="2378"/>
    </row>
    <row r="1222" spans="1:7">
      <c r="A1222" s="1475" t="s">
        <v>1969</v>
      </c>
      <c r="B1222" s="1499">
        <v>1</v>
      </c>
      <c r="C1222" s="2403"/>
      <c r="D1222" s="2600"/>
      <c r="E1222" s="2600"/>
      <c r="F1222" s="2600"/>
      <c r="G1222" s="2601"/>
    </row>
    <row r="1223" spans="1:7">
      <c r="A1223" s="1500" t="s">
        <v>2101</v>
      </c>
      <c r="B1223" s="1501">
        <f>ROUNDUP(B1222,2)</f>
        <v>1</v>
      </c>
      <c r="C1223" s="2602"/>
      <c r="D1223" s="2603"/>
      <c r="E1223" s="2603"/>
      <c r="F1223" s="2603"/>
      <c r="G1223" s="2604"/>
    </row>
    <row r="1224" spans="1:7" ht="15.75" thickBot="1">
      <c r="A1224" s="1284"/>
      <c r="B1224" s="1285"/>
      <c r="C1224" s="1285"/>
      <c r="D1224" s="1285"/>
      <c r="E1224" s="1285"/>
      <c r="F1224" s="1285"/>
      <c r="G1224" s="1286"/>
    </row>
    <row r="1225" spans="1:7" ht="15.75" thickBot="1">
      <c r="A1225" s="1299">
        <v>15</v>
      </c>
      <c r="B1225" s="2366" t="s">
        <v>2129</v>
      </c>
      <c r="C1225" s="2367"/>
      <c r="D1225" s="2367"/>
      <c r="E1225" s="2367"/>
      <c r="F1225" s="2367"/>
      <c r="G1225" s="2368"/>
    </row>
    <row r="1226" spans="1:7" ht="15.75" thickBot="1">
      <c r="A1226" s="1363"/>
      <c r="B1226" s="1349"/>
      <c r="C1226" s="1341"/>
      <c r="D1226" s="1364"/>
      <c r="E1226" s="1365"/>
      <c r="F1226" s="1365"/>
      <c r="G1226" s="1366"/>
    </row>
    <row r="1227" spans="1:7" ht="15.75" thickBot="1">
      <c r="A1227" s="1299">
        <v>16</v>
      </c>
      <c r="B1227" s="2366" t="s">
        <v>2130</v>
      </c>
      <c r="C1227" s="2367"/>
      <c r="D1227" s="2367"/>
      <c r="E1227" s="2367"/>
      <c r="F1227" s="2367"/>
      <c r="G1227" s="2368"/>
    </row>
    <row r="1228" spans="1:7" ht="15.75" thickBot="1">
      <c r="A1228" s="1363"/>
      <c r="B1228" s="1349"/>
      <c r="C1228" s="1341"/>
      <c r="D1228" s="1364"/>
      <c r="E1228" s="1365"/>
      <c r="F1228" s="1365"/>
      <c r="G1228" s="1366"/>
    </row>
    <row r="1229" spans="1:7" ht="15.75" thickBot="1">
      <c r="A1229" s="1299">
        <v>17</v>
      </c>
      <c r="B1229" s="2366" t="s">
        <v>2131</v>
      </c>
      <c r="C1229" s="2367"/>
      <c r="D1229" s="2367"/>
      <c r="E1229" s="2367"/>
      <c r="F1229" s="2367"/>
      <c r="G1229" s="2368"/>
    </row>
    <row r="1230" spans="1:7" ht="15.75" thickBot="1">
      <c r="A1230" s="1363"/>
      <c r="B1230" s="1349"/>
      <c r="C1230" s="1341"/>
      <c r="D1230" s="1364"/>
      <c r="E1230" s="1365"/>
      <c r="F1230" s="1365"/>
      <c r="G1230" s="1366"/>
    </row>
    <row r="1231" spans="1:7" ht="15.75" thickBot="1">
      <c r="A1231" s="1299">
        <v>18</v>
      </c>
      <c r="B1231" s="2366" t="s">
        <v>77</v>
      </c>
      <c r="C1231" s="2367"/>
      <c r="D1231" s="2367"/>
      <c r="E1231" s="2367"/>
      <c r="F1231" s="2367"/>
      <c r="G1231" s="2368"/>
    </row>
    <row r="1232" spans="1:7" ht="15.75" thickBot="1">
      <c r="A1232" s="1363"/>
      <c r="B1232" s="1349"/>
      <c r="C1232" s="1341"/>
      <c r="D1232" s="1364"/>
      <c r="E1232" s="1365"/>
      <c r="F1232" s="1365"/>
      <c r="G1232" s="1366"/>
    </row>
    <row r="1233" spans="1:7" ht="15.75" thickBot="1">
      <c r="A1233" s="1299">
        <v>19</v>
      </c>
      <c r="B1233" s="2366" t="s">
        <v>2132</v>
      </c>
      <c r="C1233" s="2367"/>
      <c r="D1233" s="2367"/>
      <c r="E1233" s="2367"/>
      <c r="F1233" s="2367"/>
      <c r="G1233" s="2368"/>
    </row>
    <row r="1234" spans="1:7" ht="15.75" thickBot="1">
      <c r="A1234" s="1284"/>
      <c r="B1234" s="1285"/>
      <c r="C1234" s="1285"/>
      <c r="D1234" s="1285"/>
      <c r="E1234" s="1285"/>
      <c r="F1234" s="1285"/>
      <c r="G1234" s="1286"/>
    </row>
    <row r="1235" spans="1:7" ht="15.75" thickBot="1">
      <c r="A1235" s="1299">
        <v>20</v>
      </c>
      <c r="B1235" s="2366" t="s">
        <v>2133</v>
      </c>
      <c r="C1235" s="2367"/>
      <c r="D1235" s="2367"/>
      <c r="E1235" s="2367"/>
      <c r="F1235" s="2367"/>
      <c r="G1235" s="2368"/>
    </row>
    <row r="1236" spans="1:7" ht="15.75" thickBot="1">
      <c r="A1236" s="1284"/>
      <c r="B1236" s="1285"/>
      <c r="C1236" s="1285"/>
      <c r="D1236" s="1285"/>
      <c r="E1236" s="1285"/>
      <c r="F1236" s="1285"/>
      <c r="G1236" s="1286"/>
    </row>
    <row r="1237" spans="1:7" ht="15.75" thickBot="1">
      <c r="A1237" s="1299">
        <v>21</v>
      </c>
      <c r="B1237" s="2366" t="s">
        <v>640</v>
      </c>
      <c r="C1237" s="2367"/>
      <c r="D1237" s="2367"/>
      <c r="E1237" s="2367"/>
      <c r="F1237" s="2367"/>
      <c r="G1237" s="2368"/>
    </row>
    <row r="1238" spans="1:7" ht="15.75" thickBot="1">
      <c r="A1238" s="1299" t="s">
        <v>2134</v>
      </c>
      <c r="B1238" s="2366" t="s">
        <v>641</v>
      </c>
      <c r="C1238" s="2367"/>
      <c r="D1238" s="2367"/>
      <c r="E1238" s="2367"/>
      <c r="F1238" s="2367"/>
      <c r="G1238" s="2368"/>
    </row>
    <row r="1239" spans="1:7">
      <c r="A1239" s="2435" t="s">
        <v>306</v>
      </c>
      <c r="B1239" s="2436"/>
      <c r="C1239" s="2436"/>
      <c r="D1239" s="2436"/>
      <c r="E1239" s="2436"/>
      <c r="F1239" s="2436"/>
      <c r="G1239" s="2437"/>
    </row>
    <row r="1240" spans="1:7">
      <c r="A1240" s="2605" t="s">
        <v>642</v>
      </c>
      <c r="B1240" s="2606"/>
      <c r="C1240" s="2606"/>
      <c r="D1240" s="2606"/>
      <c r="E1240" s="2606"/>
      <c r="F1240" s="2606"/>
      <c r="G1240" s="2607"/>
    </row>
    <row r="1241" spans="1:7">
      <c r="A1241" s="2608" t="s">
        <v>311</v>
      </c>
      <c r="B1241" s="2609"/>
      <c r="C1241" s="1502" t="s">
        <v>604</v>
      </c>
      <c r="D1241" s="1502" t="s">
        <v>331</v>
      </c>
      <c r="E1241" s="2610" t="s">
        <v>309</v>
      </c>
      <c r="F1241" s="2611"/>
      <c r="G1241" s="2612"/>
    </row>
    <row r="1242" spans="1:7" ht="24">
      <c r="A1242" s="2547" t="s">
        <v>2135</v>
      </c>
      <c r="B1242" s="2393"/>
      <c r="C1242" s="1430" t="s">
        <v>2136</v>
      </c>
      <c r="D1242" s="1406">
        <f>31.95+108.42+13.7+68.14+4.46</f>
        <v>226.67</v>
      </c>
      <c r="E1242" s="2591" t="s">
        <v>1715</v>
      </c>
      <c r="F1242" s="2592"/>
      <c r="G1242" s="2593"/>
    </row>
    <row r="1243" spans="1:7" ht="15.75" thickBot="1">
      <c r="A1243" s="2507" t="s">
        <v>325</v>
      </c>
      <c r="B1243" s="2464"/>
      <c r="C1243" s="2465"/>
      <c r="D1243" s="1503">
        <f>SUM(D1242)</f>
        <v>226.67</v>
      </c>
      <c r="E1243" s="2555">
        <f>D1243*0.07</f>
        <v>15.866900000000001</v>
      </c>
      <c r="F1243" s="2508"/>
      <c r="G1243" s="2556"/>
    </row>
    <row r="1244" spans="1:7" ht="15.75" thickBot="1">
      <c r="A1244" s="1284"/>
      <c r="B1244" s="1285"/>
      <c r="C1244" s="1285"/>
      <c r="D1244" s="1285"/>
      <c r="E1244" s="1285"/>
      <c r="F1244" s="1285"/>
      <c r="G1244" s="1286"/>
    </row>
    <row r="1245" spans="1:7" ht="15.75" thickBot="1">
      <c r="A1245" s="1299" t="s">
        <v>1716</v>
      </c>
      <c r="B1245" s="2366" t="s">
        <v>1717</v>
      </c>
      <c r="C1245" s="2367"/>
      <c r="D1245" s="2367"/>
      <c r="E1245" s="2367"/>
      <c r="F1245" s="2367"/>
      <c r="G1245" s="2368"/>
    </row>
    <row r="1246" spans="1:7">
      <c r="A1246" s="2435" t="s">
        <v>306</v>
      </c>
      <c r="B1246" s="2436"/>
      <c r="C1246" s="2436"/>
      <c r="D1246" s="2436"/>
      <c r="E1246" s="2436"/>
      <c r="F1246" s="2436"/>
      <c r="G1246" s="2437"/>
    </row>
    <row r="1247" spans="1:7">
      <c r="A1247" s="2605" t="s">
        <v>642</v>
      </c>
      <c r="B1247" s="2606"/>
      <c r="C1247" s="2606"/>
      <c r="D1247" s="2606"/>
      <c r="E1247" s="2606"/>
      <c r="F1247" s="2606"/>
      <c r="G1247" s="2607"/>
    </row>
    <row r="1248" spans="1:7">
      <c r="A1248" s="2608" t="s">
        <v>311</v>
      </c>
      <c r="B1248" s="2609"/>
      <c r="C1248" s="1502" t="s">
        <v>603</v>
      </c>
      <c r="D1248" s="1502" t="s">
        <v>337</v>
      </c>
      <c r="E1248" s="2610" t="s">
        <v>309</v>
      </c>
      <c r="F1248" s="2611"/>
      <c r="G1248" s="2612"/>
    </row>
    <row r="1249" spans="1:7">
      <c r="A1249" s="2547" t="s">
        <v>2137</v>
      </c>
      <c r="B1249" s="2393"/>
      <c r="C1249" s="1406">
        <f>27.48+41.78</f>
        <v>69.260000000000005</v>
      </c>
      <c r="D1249" s="1406">
        <f>C1249</f>
        <v>69.260000000000005</v>
      </c>
      <c r="E1249" s="2591"/>
      <c r="F1249" s="2592"/>
      <c r="G1249" s="2593"/>
    </row>
    <row r="1250" spans="1:7" ht="15.75" thickBot="1">
      <c r="A1250" s="2507" t="s">
        <v>325</v>
      </c>
      <c r="B1250" s="2464"/>
      <c r="C1250" s="2465"/>
      <c r="D1250" s="1503">
        <f>SUM(D1249)</f>
        <v>69.260000000000005</v>
      </c>
      <c r="E1250" s="2555"/>
      <c r="F1250" s="2508"/>
      <c r="G1250" s="2556"/>
    </row>
    <row r="1251" spans="1:7" ht="15.75" thickBot="1">
      <c r="A1251" s="1504"/>
      <c r="B1251" s="1389"/>
      <c r="C1251" s="1389"/>
      <c r="D1251" s="1322"/>
      <c r="E1251" s="1505"/>
      <c r="F1251" s="1505"/>
      <c r="G1251" s="1506"/>
    </row>
    <row r="1252" spans="1:7" ht="15.75" thickBot="1">
      <c r="A1252" s="1299" t="s">
        <v>2138</v>
      </c>
      <c r="B1252" s="2366" t="s">
        <v>2139</v>
      </c>
      <c r="C1252" s="2367"/>
      <c r="D1252" s="2367"/>
      <c r="E1252" s="2367"/>
      <c r="F1252" s="2367"/>
      <c r="G1252" s="2368"/>
    </row>
    <row r="1253" spans="1:7">
      <c r="A1253" s="2435" t="s">
        <v>306</v>
      </c>
      <c r="B1253" s="2436"/>
      <c r="C1253" s="2436"/>
      <c r="D1253" s="2436"/>
      <c r="E1253" s="2436"/>
      <c r="F1253" s="2436"/>
      <c r="G1253" s="2437"/>
    </row>
    <row r="1254" spans="1:7">
      <c r="A1254" s="2605" t="s">
        <v>642</v>
      </c>
      <c r="B1254" s="2606"/>
      <c r="C1254" s="2606"/>
      <c r="D1254" s="2606"/>
      <c r="E1254" s="2606"/>
      <c r="F1254" s="2606"/>
      <c r="G1254" s="2607"/>
    </row>
    <row r="1255" spans="1:7">
      <c r="A1255" s="2608" t="s">
        <v>311</v>
      </c>
      <c r="B1255" s="2609"/>
      <c r="C1255" s="1502" t="s">
        <v>603</v>
      </c>
      <c r="D1255" s="1502" t="s">
        <v>337</v>
      </c>
      <c r="E1255" s="2610" t="s">
        <v>309</v>
      </c>
      <c r="F1255" s="2611"/>
      <c r="G1255" s="2612"/>
    </row>
    <row r="1256" spans="1:7">
      <c r="A1256" s="2520">
        <v>4.17</v>
      </c>
      <c r="B1256" s="2557"/>
      <c r="C1256" s="1406">
        <v>4.17</v>
      </c>
      <c r="D1256" s="1406">
        <f>C1256</f>
        <v>4.17</v>
      </c>
      <c r="E1256" s="2591"/>
      <c r="F1256" s="2592"/>
      <c r="G1256" s="2593"/>
    </row>
    <row r="1257" spans="1:7" ht="15.75" thickBot="1">
      <c r="A1257" s="2507" t="s">
        <v>325</v>
      </c>
      <c r="B1257" s="2464"/>
      <c r="C1257" s="2465"/>
      <c r="D1257" s="1503">
        <f>SUM(D1256)</f>
        <v>4.17</v>
      </c>
      <c r="E1257" s="2555"/>
      <c r="F1257" s="2508"/>
      <c r="G1257" s="2556"/>
    </row>
    <row r="1258" spans="1:7" ht="15.75" thickBot="1">
      <c r="A1258" s="1504"/>
      <c r="B1258" s="1389"/>
      <c r="C1258" s="1389"/>
      <c r="D1258" s="1322"/>
      <c r="E1258" s="1505"/>
      <c r="F1258" s="1505"/>
      <c r="G1258" s="1506"/>
    </row>
    <row r="1259" spans="1:7" ht="15.75" thickBot="1">
      <c r="A1259" s="1299" t="s">
        <v>2140</v>
      </c>
      <c r="B1259" s="2366" t="s">
        <v>643</v>
      </c>
      <c r="C1259" s="2367"/>
      <c r="D1259" s="2367"/>
      <c r="E1259" s="2367"/>
      <c r="F1259" s="2367"/>
      <c r="G1259" s="2368"/>
    </row>
    <row r="1260" spans="1:7">
      <c r="A1260" s="2369" t="s">
        <v>306</v>
      </c>
      <c r="B1260" s="2370"/>
      <c r="C1260" s="2370"/>
      <c r="D1260" s="2370"/>
      <c r="E1260" s="2370"/>
      <c r="F1260" s="2370"/>
      <c r="G1260" s="2371"/>
    </row>
    <row r="1261" spans="1:7">
      <c r="A1261" s="2605" t="s">
        <v>642</v>
      </c>
      <c r="B1261" s="2606"/>
      <c r="C1261" s="2606"/>
      <c r="D1261" s="2606"/>
      <c r="E1261" s="2606"/>
      <c r="F1261" s="2606"/>
      <c r="G1261" s="2607"/>
    </row>
    <row r="1262" spans="1:7">
      <c r="A1262" s="1507" t="s">
        <v>311</v>
      </c>
      <c r="B1262" s="1502" t="s">
        <v>308</v>
      </c>
      <c r="C1262" s="1502" t="s">
        <v>327</v>
      </c>
      <c r="D1262" s="1502" t="s">
        <v>331</v>
      </c>
      <c r="E1262" s="2610" t="s">
        <v>309</v>
      </c>
      <c r="F1262" s="2611"/>
      <c r="G1262" s="2612"/>
    </row>
    <row r="1263" spans="1:7" ht="24">
      <c r="A1263" s="1393" t="s">
        <v>644</v>
      </c>
      <c r="B1263" s="1317" t="s">
        <v>2141</v>
      </c>
      <c r="C1263" s="1317">
        <f>72.98+21.26+99.48+15.52</f>
        <v>209.24000000000004</v>
      </c>
      <c r="D1263" s="1418">
        <f>ROUNDUP(C1263,2)</f>
        <v>209.24</v>
      </c>
      <c r="E1263" s="2493" t="s">
        <v>645</v>
      </c>
      <c r="F1263" s="2494"/>
      <c r="G1263" s="2495"/>
    </row>
    <row r="1264" spans="1:7" ht="15.75" thickBot="1">
      <c r="A1264" s="2507" t="s">
        <v>325</v>
      </c>
      <c r="B1264" s="2464"/>
      <c r="C1264" s="2464"/>
      <c r="D1264" s="1503">
        <f>ROUNDUP(D1263,2)</f>
        <v>209.24</v>
      </c>
      <c r="E1264" s="2555"/>
      <c r="F1264" s="2508"/>
      <c r="G1264" s="2556"/>
    </row>
    <row r="1265" spans="1:7" ht="15.75" thickBot="1">
      <c r="A1265" s="1284"/>
      <c r="B1265" s="1285"/>
      <c r="C1265" s="1285"/>
      <c r="D1265" s="1285"/>
      <c r="E1265" s="1285"/>
      <c r="F1265" s="1285"/>
      <c r="G1265" s="1286"/>
    </row>
    <row r="1266" spans="1:7" ht="15.75" thickBot="1">
      <c r="A1266" s="1299" t="s">
        <v>2142</v>
      </c>
      <c r="B1266" s="2366" t="s">
        <v>646</v>
      </c>
      <c r="C1266" s="2367"/>
      <c r="D1266" s="2367"/>
      <c r="E1266" s="2367"/>
      <c r="F1266" s="2367"/>
      <c r="G1266" s="2368"/>
    </row>
    <row r="1267" spans="1:7">
      <c r="A1267" s="2369" t="s">
        <v>306</v>
      </c>
      <c r="B1267" s="2370"/>
      <c r="C1267" s="2370"/>
      <c r="D1267" s="2370"/>
      <c r="E1267" s="2370"/>
      <c r="F1267" s="2370"/>
      <c r="G1267" s="2371"/>
    </row>
    <row r="1268" spans="1:7">
      <c r="A1268" s="2605" t="s">
        <v>642</v>
      </c>
      <c r="B1268" s="2606"/>
      <c r="C1268" s="2606"/>
      <c r="D1268" s="2606"/>
      <c r="E1268" s="2606"/>
      <c r="F1268" s="2606"/>
      <c r="G1268" s="2607"/>
    </row>
    <row r="1269" spans="1:7">
      <c r="A1269" s="1507" t="s">
        <v>311</v>
      </c>
      <c r="B1269" s="1502" t="s">
        <v>308</v>
      </c>
      <c r="C1269" s="1502" t="s">
        <v>327</v>
      </c>
      <c r="D1269" s="1502" t="s">
        <v>331</v>
      </c>
      <c r="E1269" s="2610" t="s">
        <v>309</v>
      </c>
      <c r="F1269" s="2611"/>
      <c r="G1269" s="2612"/>
    </row>
    <row r="1270" spans="1:7">
      <c r="A1270" s="1393" t="s">
        <v>647</v>
      </c>
      <c r="B1270" s="1317" t="s">
        <v>2143</v>
      </c>
      <c r="C1270" s="1317">
        <f>72.98+21.26+99.48</f>
        <v>193.72000000000003</v>
      </c>
      <c r="D1270" s="1418">
        <f>ROUNDUP(C1270,2)</f>
        <v>193.72</v>
      </c>
      <c r="E1270" s="2493" t="s">
        <v>645</v>
      </c>
      <c r="F1270" s="2494"/>
      <c r="G1270" s="2495"/>
    </row>
    <row r="1271" spans="1:7" ht="15.75" thickBot="1">
      <c r="A1271" s="2507" t="s">
        <v>325</v>
      </c>
      <c r="B1271" s="2464"/>
      <c r="C1271" s="2464"/>
      <c r="D1271" s="1503">
        <f>ROUNDUP(D1270,2)</f>
        <v>193.72</v>
      </c>
      <c r="E1271" s="2555"/>
      <c r="F1271" s="2508"/>
      <c r="G1271" s="2556"/>
    </row>
    <row r="1272" spans="1:7" ht="15.75" thickBot="1">
      <c r="A1272" s="2536"/>
      <c r="B1272" s="2537"/>
      <c r="C1272" s="2537"/>
      <c r="D1272" s="2537"/>
      <c r="E1272" s="2537"/>
      <c r="F1272" s="2537"/>
      <c r="G1272" s="2538"/>
    </row>
    <row r="1273" spans="1:7" ht="15.75" thickBot="1">
      <c r="A1273" s="1299" t="s">
        <v>2144</v>
      </c>
      <c r="B1273" s="2366" t="s">
        <v>648</v>
      </c>
      <c r="C1273" s="2367"/>
      <c r="D1273" s="2367"/>
      <c r="E1273" s="2367"/>
      <c r="F1273" s="2367"/>
      <c r="G1273" s="2368"/>
    </row>
    <row r="1274" spans="1:7">
      <c r="A1274" s="2369" t="s">
        <v>306</v>
      </c>
      <c r="B1274" s="2370"/>
      <c r="C1274" s="2370"/>
      <c r="D1274" s="2370"/>
      <c r="E1274" s="2370"/>
      <c r="F1274" s="2370"/>
      <c r="G1274" s="2371"/>
    </row>
    <row r="1275" spans="1:7">
      <c r="A1275" s="2605" t="s">
        <v>642</v>
      </c>
      <c r="B1275" s="2606"/>
      <c r="C1275" s="2606"/>
      <c r="D1275" s="2606"/>
      <c r="E1275" s="2606"/>
      <c r="F1275" s="2606"/>
      <c r="G1275" s="2607"/>
    </row>
    <row r="1276" spans="1:7">
      <c r="A1276" s="1507" t="s">
        <v>311</v>
      </c>
      <c r="B1276" s="1502" t="s">
        <v>308</v>
      </c>
      <c r="C1276" s="1502" t="s">
        <v>327</v>
      </c>
      <c r="D1276" s="1502" t="s">
        <v>331</v>
      </c>
      <c r="E1276" s="2610" t="s">
        <v>309</v>
      </c>
      <c r="F1276" s="2611"/>
      <c r="G1276" s="2612"/>
    </row>
    <row r="1277" spans="1:7">
      <c r="A1277" s="1393" t="s">
        <v>649</v>
      </c>
      <c r="B1277" s="1317">
        <v>15.52</v>
      </c>
      <c r="C1277" s="1317">
        <v>15.52</v>
      </c>
      <c r="D1277" s="1418">
        <f>ROUNDUP(C1277,2)</f>
        <v>15.52</v>
      </c>
      <c r="E1277" s="2493"/>
      <c r="F1277" s="2494"/>
      <c r="G1277" s="2495"/>
    </row>
    <row r="1278" spans="1:7" ht="15.75" thickBot="1">
      <c r="A1278" s="2507" t="s">
        <v>325</v>
      </c>
      <c r="B1278" s="2464"/>
      <c r="C1278" s="2464"/>
      <c r="D1278" s="1503">
        <f>ROUNDUP(D1277,2)</f>
        <v>15.52</v>
      </c>
      <c r="E1278" s="2555"/>
      <c r="F1278" s="2508"/>
      <c r="G1278" s="2556"/>
    </row>
    <row r="1279" spans="1:7" ht="15.75" thickBot="1">
      <c r="A1279" s="1284"/>
      <c r="B1279" s="1285"/>
      <c r="C1279" s="1285"/>
      <c r="D1279" s="1285"/>
      <c r="E1279" s="1285"/>
      <c r="F1279" s="1285"/>
      <c r="G1279" s="1286"/>
    </row>
    <row r="1280" spans="1:7" ht="15.75" thickBot="1">
      <c r="A1280" s="1299" t="s">
        <v>2145</v>
      </c>
      <c r="B1280" s="2366" t="s">
        <v>650</v>
      </c>
      <c r="C1280" s="2367"/>
      <c r="D1280" s="2367"/>
      <c r="E1280" s="2367"/>
      <c r="F1280" s="2367"/>
      <c r="G1280" s="2368"/>
    </row>
    <row r="1281" spans="1:7">
      <c r="A1281" s="2369" t="s">
        <v>306</v>
      </c>
      <c r="B1281" s="2370"/>
      <c r="C1281" s="2370"/>
      <c r="D1281" s="2370"/>
      <c r="E1281" s="2370"/>
      <c r="F1281" s="2370"/>
      <c r="G1281" s="2371"/>
    </row>
    <row r="1282" spans="1:7">
      <c r="A1282" s="2605" t="s">
        <v>642</v>
      </c>
      <c r="B1282" s="2606"/>
      <c r="C1282" s="2606"/>
      <c r="D1282" s="2606"/>
      <c r="E1282" s="2606"/>
      <c r="F1282" s="2606"/>
      <c r="G1282" s="2607"/>
    </row>
    <row r="1283" spans="1:7">
      <c r="A1283" s="1507" t="s">
        <v>311</v>
      </c>
      <c r="B1283" s="2610" t="s">
        <v>651</v>
      </c>
      <c r="C1283" s="2609"/>
      <c r="D1283" s="2610" t="s">
        <v>309</v>
      </c>
      <c r="E1283" s="2611"/>
      <c r="F1283" s="2611"/>
      <c r="G1283" s="2612"/>
    </row>
    <row r="1284" spans="1:7">
      <c r="A1284" s="1393" t="s">
        <v>652</v>
      </c>
      <c r="B1284" s="2438">
        <v>12</v>
      </c>
      <c r="C1284" s="2439"/>
      <c r="D1284" s="2502"/>
      <c r="E1284" s="2503"/>
      <c r="F1284" s="2503"/>
      <c r="G1284" s="2504"/>
    </row>
    <row r="1285" spans="1:7" ht="15.75" thickBot="1">
      <c r="A1285" s="1508" t="s">
        <v>325</v>
      </c>
      <c r="B1285" s="2616">
        <f>SUM(B1284)</f>
        <v>12</v>
      </c>
      <c r="C1285" s="2617"/>
      <c r="D1285" s="1336"/>
      <c r="E1285" s="1337"/>
      <c r="F1285" s="1337"/>
      <c r="G1285" s="1338"/>
    </row>
    <row r="1286" spans="1:7" ht="15.75" thickBot="1">
      <c r="A1286" s="1284"/>
      <c r="B1286" s="1285"/>
      <c r="C1286" s="1285"/>
      <c r="D1286" s="1285"/>
      <c r="E1286" s="1285"/>
      <c r="F1286" s="1285"/>
      <c r="G1286" s="1286"/>
    </row>
    <row r="1287" spans="1:7" ht="15.75" thickBot="1">
      <c r="A1287" s="1299" t="s">
        <v>2146</v>
      </c>
      <c r="B1287" s="2366" t="s">
        <v>653</v>
      </c>
      <c r="C1287" s="2367"/>
      <c r="D1287" s="2367"/>
      <c r="E1287" s="2367"/>
      <c r="F1287" s="2367"/>
      <c r="G1287" s="2368"/>
    </row>
    <row r="1288" spans="1:7">
      <c r="A1288" s="2369" t="s">
        <v>306</v>
      </c>
      <c r="B1288" s="2370"/>
      <c r="C1288" s="2370"/>
      <c r="D1288" s="2370"/>
      <c r="E1288" s="2370"/>
      <c r="F1288" s="2370"/>
      <c r="G1288" s="2371"/>
    </row>
    <row r="1289" spans="1:7">
      <c r="A1289" s="2605" t="s">
        <v>642</v>
      </c>
      <c r="B1289" s="2606"/>
      <c r="C1289" s="2606"/>
      <c r="D1289" s="2606"/>
      <c r="E1289" s="2606"/>
      <c r="F1289" s="2606"/>
      <c r="G1289" s="2607"/>
    </row>
    <row r="1290" spans="1:7">
      <c r="A1290" s="1507" t="s">
        <v>311</v>
      </c>
      <c r="B1290" s="2610" t="s">
        <v>651</v>
      </c>
      <c r="C1290" s="2609"/>
      <c r="D1290" s="2610" t="s">
        <v>309</v>
      </c>
      <c r="E1290" s="2611"/>
      <c r="F1290" s="2611"/>
      <c r="G1290" s="2612"/>
    </row>
    <row r="1291" spans="1:7">
      <c r="A1291" s="1393" t="s">
        <v>652</v>
      </c>
      <c r="B1291" s="2438">
        <v>7</v>
      </c>
      <c r="C1291" s="2439"/>
      <c r="D1291" s="2502"/>
      <c r="E1291" s="2503"/>
      <c r="F1291" s="2503"/>
      <c r="G1291" s="2504"/>
    </row>
    <row r="1292" spans="1:7" ht="15.75" thickBot="1">
      <c r="A1292" s="1508" t="s">
        <v>325</v>
      </c>
      <c r="B1292" s="2616">
        <f>SUM(B1291)</f>
        <v>7</v>
      </c>
      <c r="C1292" s="2617"/>
      <c r="D1292" s="1336"/>
      <c r="E1292" s="1337"/>
      <c r="F1292" s="1337"/>
      <c r="G1292" s="1338"/>
    </row>
    <row r="1293" spans="1:7" ht="15.75" thickBot="1">
      <c r="A1293" s="1462"/>
      <c r="B1293" s="1509"/>
      <c r="C1293" s="1509"/>
      <c r="D1293" s="1510"/>
      <c r="E1293" s="1510"/>
      <c r="F1293" s="1510"/>
      <c r="G1293" s="1511"/>
    </row>
    <row r="1294" spans="1:7" ht="15.75" thickBot="1">
      <c r="A1294" s="2536"/>
      <c r="B1294" s="2537"/>
      <c r="C1294" s="2537"/>
      <c r="D1294" s="2537"/>
      <c r="E1294" s="2537"/>
      <c r="F1294" s="2537"/>
      <c r="G1294" s="2538"/>
    </row>
    <row r="1295" spans="1:7" ht="15.75" thickBot="1">
      <c r="A1295" s="1299" t="s">
        <v>2147</v>
      </c>
      <c r="B1295" s="2366" t="s">
        <v>654</v>
      </c>
      <c r="C1295" s="2367"/>
      <c r="D1295" s="2367"/>
      <c r="E1295" s="2367"/>
      <c r="F1295" s="2367"/>
      <c r="G1295" s="2368"/>
    </row>
    <row r="1296" spans="1:7">
      <c r="A1296" s="2411" t="s">
        <v>306</v>
      </c>
      <c r="B1296" s="2412"/>
      <c r="C1296" s="2412"/>
      <c r="D1296" s="2412"/>
      <c r="E1296" s="2412"/>
      <c r="F1296" s="2412"/>
      <c r="G1296" s="2413"/>
    </row>
    <row r="1297" spans="1:7">
      <c r="A1297" s="2605" t="s">
        <v>642</v>
      </c>
      <c r="B1297" s="2606"/>
      <c r="C1297" s="2606"/>
      <c r="D1297" s="2606"/>
      <c r="E1297" s="2606"/>
      <c r="F1297" s="2606"/>
      <c r="G1297" s="2607"/>
    </row>
    <row r="1298" spans="1:7">
      <c r="A1298" s="1474" t="s">
        <v>603</v>
      </c>
      <c r="B1298" s="1306" t="s">
        <v>655</v>
      </c>
      <c r="C1298" s="1306" t="s">
        <v>330</v>
      </c>
      <c r="D1298" s="1306" t="s">
        <v>656</v>
      </c>
      <c r="E1298" s="1512" t="s">
        <v>327</v>
      </c>
      <c r="F1298" s="2613" t="s">
        <v>309</v>
      </c>
      <c r="G1298" s="2614"/>
    </row>
    <row r="1299" spans="1:7">
      <c r="A1299" s="1393" t="s">
        <v>2148</v>
      </c>
      <c r="B1299" s="1499">
        <f>24.9+44.7</f>
        <v>69.599999999999994</v>
      </c>
      <c r="C1299" s="1331">
        <v>0.4</v>
      </c>
      <c r="D1299" s="1513">
        <f>(3.9*2*0.4)+(1.5*0.4)</f>
        <v>3.72</v>
      </c>
      <c r="E1299" s="1514">
        <f>((69.6*0.4))-D1299</f>
        <v>24.12</v>
      </c>
      <c r="F1299" s="2615"/>
      <c r="G1299" s="2386"/>
    </row>
    <row r="1300" spans="1:7" ht="15.75" thickBot="1">
      <c r="A1300" s="2507"/>
      <c r="B1300" s="2464"/>
      <c r="C1300" s="2465"/>
      <c r="D1300" s="1335" t="s">
        <v>325</v>
      </c>
      <c r="E1300" s="1515">
        <f>E1299</f>
        <v>24.12</v>
      </c>
      <c r="F1300" s="1296"/>
      <c r="G1300" s="1516"/>
    </row>
    <row r="1301" spans="1:7" ht="15.75" thickBot="1">
      <c r="A1301" s="1462"/>
      <c r="B1301" s="1509"/>
      <c r="C1301" s="1509"/>
      <c r="D1301" s="1510"/>
      <c r="E1301" s="1510"/>
      <c r="F1301" s="1510"/>
      <c r="G1301" s="1511"/>
    </row>
    <row r="1302" spans="1:7" ht="15.75" thickBot="1">
      <c r="A1302" s="1299" t="s">
        <v>2149</v>
      </c>
      <c r="B1302" s="2366" t="s">
        <v>657</v>
      </c>
      <c r="C1302" s="2367"/>
      <c r="D1302" s="2367"/>
      <c r="E1302" s="2367"/>
      <c r="F1302" s="2367"/>
      <c r="G1302" s="2368"/>
    </row>
    <row r="1303" spans="1:7">
      <c r="A1303" s="2411" t="s">
        <v>306</v>
      </c>
      <c r="B1303" s="2412"/>
      <c r="C1303" s="2412"/>
      <c r="D1303" s="2412"/>
      <c r="E1303" s="2412"/>
      <c r="F1303" s="2412"/>
      <c r="G1303" s="2413"/>
    </row>
    <row r="1304" spans="1:7">
      <c r="A1304" s="2605" t="s">
        <v>642</v>
      </c>
      <c r="B1304" s="2606"/>
      <c r="C1304" s="2606"/>
      <c r="D1304" s="2606"/>
      <c r="E1304" s="2606"/>
      <c r="F1304" s="2606"/>
      <c r="G1304" s="2607"/>
    </row>
    <row r="1305" spans="1:7">
      <c r="A1305" s="1474" t="s">
        <v>603</v>
      </c>
      <c r="B1305" s="1306" t="s">
        <v>655</v>
      </c>
      <c r="C1305" s="1306" t="s">
        <v>330</v>
      </c>
      <c r="D1305" s="1306" t="s">
        <v>656</v>
      </c>
      <c r="E1305" s="1512" t="s">
        <v>327</v>
      </c>
      <c r="F1305" s="2613" t="s">
        <v>309</v>
      </c>
      <c r="G1305" s="2614"/>
    </row>
    <row r="1306" spans="1:7">
      <c r="A1306" s="1393" t="s">
        <v>2150</v>
      </c>
      <c r="B1306" s="1499">
        <f>((24.9+44.7)*2)</f>
        <v>139.19999999999999</v>
      </c>
      <c r="C1306" s="1331">
        <v>0.4</v>
      </c>
      <c r="D1306" s="1513">
        <f>((3.9*2*0.4)+(1.5*0.4))*2</f>
        <v>7.44</v>
      </c>
      <c r="E1306" s="1514">
        <f>(B1306*C1306)-D1306</f>
        <v>48.24</v>
      </c>
      <c r="F1306" s="2615"/>
      <c r="G1306" s="2386"/>
    </row>
    <row r="1307" spans="1:7">
      <c r="A1307" s="1393" t="s">
        <v>2151</v>
      </c>
      <c r="B1307" s="1499">
        <f>((24.9+44.7))</f>
        <v>69.599999999999994</v>
      </c>
      <c r="C1307" s="1331">
        <v>0.15</v>
      </c>
      <c r="D1307" s="1513"/>
      <c r="E1307" s="1514">
        <f>(B1307*C1307)</f>
        <v>10.44</v>
      </c>
      <c r="F1307" s="2615"/>
      <c r="G1307" s="2386"/>
    </row>
    <row r="1308" spans="1:7" ht="15.75" thickBot="1">
      <c r="A1308" s="2507"/>
      <c r="B1308" s="2464"/>
      <c r="C1308" s="2465"/>
      <c r="D1308" s="1335" t="s">
        <v>325</v>
      </c>
      <c r="E1308" s="1515">
        <f>SUM(E1306:E1307)</f>
        <v>58.68</v>
      </c>
      <c r="F1308" s="1296"/>
      <c r="G1308" s="1516"/>
    </row>
    <row r="1309" spans="1:7" ht="15.75" thickBot="1">
      <c r="A1309" s="1462"/>
      <c r="B1309" s="1509"/>
      <c r="C1309" s="1509"/>
      <c r="D1309" s="1510"/>
      <c r="E1309" s="1510"/>
      <c r="F1309" s="1510"/>
      <c r="G1309" s="1511"/>
    </row>
    <row r="1310" spans="1:7" ht="15.75" thickBot="1">
      <c r="A1310" s="1299" t="s">
        <v>2152</v>
      </c>
      <c r="B1310" s="2366" t="s">
        <v>1724</v>
      </c>
      <c r="C1310" s="2367"/>
      <c r="D1310" s="2367"/>
      <c r="E1310" s="2367"/>
      <c r="F1310" s="2367"/>
      <c r="G1310" s="2368"/>
    </row>
    <row r="1311" spans="1:7">
      <c r="A1311" s="2411" t="s">
        <v>306</v>
      </c>
      <c r="B1311" s="2412"/>
      <c r="C1311" s="2412"/>
      <c r="D1311" s="2412"/>
      <c r="E1311" s="2412"/>
      <c r="F1311" s="2412"/>
      <c r="G1311" s="2413"/>
    </row>
    <row r="1312" spans="1:7">
      <c r="A1312" s="2605" t="s">
        <v>642</v>
      </c>
      <c r="B1312" s="2606"/>
      <c r="C1312" s="2606"/>
      <c r="D1312" s="2606"/>
      <c r="E1312" s="2606"/>
      <c r="F1312" s="2606"/>
      <c r="G1312" s="2607"/>
    </row>
    <row r="1313" spans="1:7">
      <c r="A1313" s="1474" t="s">
        <v>603</v>
      </c>
      <c r="B1313" s="1306" t="s">
        <v>655</v>
      </c>
      <c r="C1313" s="1306" t="s">
        <v>330</v>
      </c>
      <c r="D1313" s="1306" t="s">
        <v>656</v>
      </c>
      <c r="E1313" s="1512" t="s">
        <v>327</v>
      </c>
      <c r="F1313" s="2613" t="s">
        <v>309</v>
      </c>
      <c r="G1313" s="2614"/>
    </row>
    <row r="1314" spans="1:7">
      <c r="A1314" s="1393" t="s">
        <v>2150</v>
      </c>
      <c r="B1314" s="1499">
        <f>((24.9+44.7)*2)</f>
        <v>139.19999999999999</v>
      </c>
      <c r="C1314" s="1331">
        <v>0.4</v>
      </c>
      <c r="D1314" s="1513">
        <f>((3.9*2*0.4)+(1.5*0.4))*2</f>
        <v>7.44</v>
      </c>
      <c r="E1314" s="1514">
        <f>(B1314*C1314)-D1314</f>
        <v>48.24</v>
      </c>
      <c r="F1314" s="2615"/>
      <c r="G1314" s="2386"/>
    </row>
    <row r="1315" spans="1:7">
      <c r="A1315" s="1393" t="s">
        <v>2151</v>
      </c>
      <c r="B1315" s="1499">
        <f>((24.9+44.7))</f>
        <v>69.599999999999994</v>
      </c>
      <c r="C1315" s="1331">
        <v>0.15</v>
      </c>
      <c r="D1315" s="1513"/>
      <c r="E1315" s="1514">
        <f>(B1315*C1315)</f>
        <v>10.44</v>
      </c>
      <c r="F1315" s="2615"/>
      <c r="G1315" s="2386"/>
    </row>
    <row r="1316" spans="1:7" ht="15.75" thickBot="1">
      <c r="A1316" s="2507"/>
      <c r="B1316" s="2464"/>
      <c r="C1316" s="2465"/>
      <c r="D1316" s="1335" t="s">
        <v>325</v>
      </c>
      <c r="E1316" s="1515">
        <f>SUM(E1314:E1315)</f>
        <v>58.68</v>
      </c>
      <c r="F1316" s="1296"/>
      <c r="G1316" s="1516"/>
    </row>
    <row r="1317" spans="1:7" ht="15.75" thickBot="1">
      <c r="A1317" s="1462"/>
      <c r="B1317" s="1509"/>
      <c r="C1317" s="1509"/>
      <c r="D1317" s="1510"/>
      <c r="E1317" s="1510"/>
      <c r="F1317" s="1510"/>
      <c r="G1317" s="1511"/>
    </row>
    <row r="1318" spans="1:7" ht="15.75" thickBot="1">
      <c r="A1318" s="1299" t="s">
        <v>2153</v>
      </c>
      <c r="B1318" s="2366" t="s">
        <v>658</v>
      </c>
      <c r="C1318" s="2367"/>
      <c r="D1318" s="2367"/>
      <c r="E1318" s="2367"/>
      <c r="F1318" s="2367"/>
      <c r="G1318" s="2368"/>
    </row>
    <row r="1319" spans="1:7">
      <c r="A1319" s="2411" t="s">
        <v>306</v>
      </c>
      <c r="B1319" s="2412"/>
      <c r="C1319" s="2412"/>
      <c r="D1319" s="2412"/>
      <c r="E1319" s="2412"/>
      <c r="F1319" s="2412"/>
      <c r="G1319" s="2413"/>
    </row>
    <row r="1320" spans="1:7">
      <c r="A1320" s="2605" t="s">
        <v>642</v>
      </c>
      <c r="B1320" s="2606"/>
      <c r="C1320" s="2606"/>
      <c r="D1320" s="2606"/>
      <c r="E1320" s="2606"/>
      <c r="F1320" s="2606"/>
      <c r="G1320" s="2607"/>
    </row>
    <row r="1321" spans="1:7">
      <c r="A1321" s="1474" t="s">
        <v>603</v>
      </c>
      <c r="B1321" s="1306" t="s">
        <v>655</v>
      </c>
      <c r="C1321" s="1306" t="s">
        <v>330</v>
      </c>
      <c r="D1321" s="1306" t="s">
        <v>656</v>
      </c>
      <c r="E1321" s="1512" t="s">
        <v>327</v>
      </c>
      <c r="F1321" s="2613" t="s">
        <v>309</v>
      </c>
      <c r="G1321" s="2614"/>
    </row>
    <row r="1322" spans="1:7">
      <c r="A1322" s="1393" t="s">
        <v>2150</v>
      </c>
      <c r="B1322" s="1499">
        <f>((24.9+44.7)*2)</f>
        <v>139.19999999999999</v>
      </c>
      <c r="C1322" s="1331">
        <v>0.4</v>
      </c>
      <c r="D1322" s="1513">
        <f>((3.9*2*0.4)+(1.5*0.4))*2</f>
        <v>7.44</v>
      </c>
      <c r="E1322" s="1514">
        <f>(B1322*C1322)-D1322</f>
        <v>48.24</v>
      </c>
      <c r="F1322" s="2615"/>
      <c r="G1322" s="2386"/>
    </row>
    <row r="1323" spans="1:7">
      <c r="A1323" s="1393" t="s">
        <v>2151</v>
      </c>
      <c r="B1323" s="1499">
        <f>((24.9+44.7))</f>
        <v>69.599999999999994</v>
      </c>
      <c r="C1323" s="1331">
        <v>0.15</v>
      </c>
      <c r="D1323" s="1513"/>
      <c r="E1323" s="1514">
        <f>(B1323*C1323)</f>
        <v>10.44</v>
      </c>
      <c r="F1323" s="2615"/>
      <c r="G1323" s="2386"/>
    </row>
    <row r="1324" spans="1:7" ht="15.75" thickBot="1">
      <c r="A1324" s="2507"/>
      <c r="B1324" s="2464"/>
      <c r="C1324" s="2465"/>
      <c r="D1324" s="1335" t="s">
        <v>325</v>
      </c>
      <c r="E1324" s="1515">
        <f>SUM(E1322:E1323)</f>
        <v>58.68</v>
      </c>
      <c r="F1324" s="1296"/>
      <c r="G1324" s="1516"/>
    </row>
    <row r="1325" spans="1:7" ht="15.75" thickBot="1">
      <c r="A1325" s="1462"/>
      <c r="B1325" s="1509"/>
      <c r="C1325" s="1509"/>
      <c r="D1325" s="1510"/>
      <c r="E1325" s="1510"/>
      <c r="F1325" s="1510"/>
      <c r="G1325" s="1511"/>
    </row>
    <row r="1326" spans="1:7" ht="15.75" thickBot="1">
      <c r="A1326" s="1299" t="s">
        <v>2154</v>
      </c>
      <c r="B1326" s="2366" t="s">
        <v>659</v>
      </c>
      <c r="C1326" s="2367"/>
      <c r="D1326" s="2367"/>
      <c r="E1326" s="2367"/>
      <c r="F1326" s="2367"/>
      <c r="G1326" s="2368"/>
    </row>
    <row r="1327" spans="1:7">
      <c r="A1327" s="2411" t="s">
        <v>306</v>
      </c>
      <c r="B1327" s="2412"/>
      <c r="C1327" s="2412"/>
      <c r="D1327" s="2412"/>
      <c r="E1327" s="2412"/>
      <c r="F1327" s="2412"/>
      <c r="G1327" s="2413"/>
    </row>
    <row r="1328" spans="1:7">
      <c r="A1328" s="2605" t="s">
        <v>642</v>
      </c>
      <c r="B1328" s="2606"/>
      <c r="C1328" s="2606"/>
      <c r="D1328" s="2606"/>
      <c r="E1328" s="2606"/>
      <c r="F1328" s="2606"/>
      <c r="G1328" s="2607"/>
    </row>
    <row r="1329" spans="1:7">
      <c r="A1329" s="1474" t="s">
        <v>603</v>
      </c>
      <c r="B1329" s="1306" t="s">
        <v>655</v>
      </c>
      <c r="C1329" s="1306" t="s">
        <v>330</v>
      </c>
      <c r="D1329" s="1306" t="s">
        <v>656</v>
      </c>
      <c r="E1329" s="1512" t="s">
        <v>327</v>
      </c>
      <c r="F1329" s="2613" t="s">
        <v>309</v>
      </c>
      <c r="G1329" s="2614"/>
    </row>
    <row r="1330" spans="1:7">
      <c r="A1330" s="1393" t="s">
        <v>2150</v>
      </c>
      <c r="B1330" s="1499">
        <f>((24.9+44.7)*2)</f>
        <v>139.19999999999999</v>
      </c>
      <c r="C1330" s="1331">
        <v>0.4</v>
      </c>
      <c r="D1330" s="1513">
        <f>((3.9*2*0.4)+(1.5*0.4))*2</f>
        <v>7.44</v>
      </c>
      <c r="E1330" s="1514">
        <f>(B1330*C1330)-D1330</f>
        <v>48.24</v>
      </c>
      <c r="F1330" s="2615"/>
      <c r="G1330" s="2386"/>
    </row>
    <row r="1331" spans="1:7">
      <c r="A1331" s="1393" t="s">
        <v>2151</v>
      </c>
      <c r="B1331" s="1499">
        <f>((24.9+44.7))</f>
        <v>69.599999999999994</v>
      </c>
      <c r="C1331" s="1331">
        <v>0.15</v>
      </c>
      <c r="D1331" s="1513"/>
      <c r="E1331" s="1514">
        <f>(B1331*C1331)</f>
        <v>10.44</v>
      </c>
      <c r="F1331" s="2615"/>
      <c r="G1331" s="2386"/>
    </row>
    <row r="1332" spans="1:7" ht="15.75" thickBot="1">
      <c r="A1332" s="2507"/>
      <c r="B1332" s="2464"/>
      <c r="C1332" s="2465"/>
      <c r="D1332" s="1335" t="s">
        <v>325</v>
      </c>
      <c r="E1332" s="1515">
        <f>SUM(E1330:E1331)</f>
        <v>58.68</v>
      </c>
      <c r="F1332" s="1296"/>
      <c r="G1332" s="1516"/>
    </row>
    <row r="1333" spans="1:7" ht="15.75" thickBot="1">
      <c r="A1333" s="1462"/>
      <c r="B1333" s="1509"/>
      <c r="C1333" s="1509"/>
      <c r="D1333" s="1510"/>
      <c r="E1333" s="1510"/>
      <c r="F1333" s="1510"/>
      <c r="G1333" s="1511"/>
    </row>
    <row r="1334" spans="1:7" ht="15.75" thickBot="1">
      <c r="A1334" s="1299" t="s">
        <v>2155</v>
      </c>
      <c r="B1334" s="2366" t="s">
        <v>660</v>
      </c>
      <c r="C1334" s="2367"/>
      <c r="D1334" s="2367"/>
      <c r="E1334" s="2367"/>
      <c r="F1334" s="2367"/>
      <c r="G1334" s="2368"/>
    </row>
    <row r="1335" spans="1:7">
      <c r="A1335" s="2411" t="s">
        <v>306</v>
      </c>
      <c r="B1335" s="2412"/>
      <c r="C1335" s="2412"/>
      <c r="D1335" s="2412"/>
      <c r="E1335" s="2412"/>
      <c r="F1335" s="2412"/>
      <c r="G1335" s="2413"/>
    </row>
    <row r="1336" spans="1:7">
      <c r="A1336" s="2605" t="s">
        <v>642</v>
      </c>
      <c r="B1336" s="2606"/>
      <c r="C1336" s="2606"/>
      <c r="D1336" s="2606"/>
      <c r="E1336" s="2606"/>
      <c r="F1336" s="2606"/>
      <c r="G1336" s="2607"/>
    </row>
    <row r="1337" spans="1:7">
      <c r="A1337" s="1474" t="s">
        <v>603</v>
      </c>
      <c r="B1337" s="1306" t="s">
        <v>655</v>
      </c>
      <c r="C1337" s="1306" t="s">
        <v>330</v>
      </c>
      <c r="D1337" s="1306" t="s">
        <v>656</v>
      </c>
      <c r="E1337" s="1512" t="s">
        <v>327</v>
      </c>
      <c r="F1337" s="2613" t="s">
        <v>309</v>
      </c>
      <c r="G1337" s="2614"/>
    </row>
    <row r="1338" spans="1:7">
      <c r="A1338" s="1393" t="s">
        <v>2150</v>
      </c>
      <c r="B1338" s="1499">
        <f>((24.9+44.7)*2)</f>
        <v>139.19999999999999</v>
      </c>
      <c r="C1338" s="1331">
        <v>0.4</v>
      </c>
      <c r="D1338" s="1513">
        <f>((3.9*2*0.4)+(1.5*0.4))*2</f>
        <v>7.44</v>
      </c>
      <c r="E1338" s="1514">
        <f>(B1338*C1338)-D1338</f>
        <v>48.24</v>
      </c>
      <c r="F1338" s="2615"/>
      <c r="G1338" s="2386"/>
    </row>
    <row r="1339" spans="1:7">
      <c r="A1339" s="1393" t="s">
        <v>2151</v>
      </c>
      <c r="B1339" s="1499">
        <f>((24.9+44.7))</f>
        <v>69.599999999999994</v>
      </c>
      <c r="C1339" s="1331">
        <v>0.15</v>
      </c>
      <c r="D1339" s="1513"/>
      <c r="E1339" s="1514">
        <f>(B1339*C1339)</f>
        <v>10.44</v>
      </c>
      <c r="F1339" s="2615"/>
      <c r="G1339" s="2386"/>
    </row>
    <row r="1340" spans="1:7" ht="15.75" thickBot="1">
      <c r="A1340" s="2507"/>
      <c r="B1340" s="2464"/>
      <c r="C1340" s="2465"/>
      <c r="D1340" s="1335" t="s">
        <v>325</v>
      </c>
      <c r="E1340" s="1515">
        <f>SUM(E1338:E1339)</f>
        <v>58.68</v>
      </c>
      <c r="F1340" s="1296"/>
      <c r="G1340" s="1516"/>
    </row>
    <row r="1341" spans="1:7" ht="15.75" thickBot="1">
      <c r="A1341" s="1462"/>
      <c r="B1341" s="1509"/>
      <c r="C1341" s="1509"/>
      <c r="D1341" s="1510"/>
      <c r="E1341" s="1510"/>
      <c r="F1341" s="1510"/>
      <c r="G1341" s="1511"/>
    </row>
    <row r="1342" spans="1:7" ht="15.75" thickBot="1">
      <c r="A1342" s="1299" t="s">
        <v>2156</v>
      </c>
      <c r="B1342" s="2366" t="s">
        <v>661</v>
      </c>
      <c r="C1342" s="2367"/>
      <c r="D1342" s="2367"/>
      <c r="E1342" s="2367"/>
      <c r="F1342" s="2367"/>
      <c r="G1342" s="2368"/>
    </row>
    <row r="1343" spans="1:7">
      <c r="A1343" s="2411" t="s">
        <v>306</v>
      </c>
      <c r="B1343" s="2412"/>
      <c r="C1343" s="2412"/>
      <c r="D1343" s="2412"/>
      <c r="E1343" s="2412"/>
      <c r="F1343" s="2412"/>
      <c r="G1343" s="2413"/>
    </row>
    <row r="1344" spans="1:7">
      <c r="A1344" s="2605" t="s">
        <v>642</v>
      </c>
      <c r="B1344" s="2606"/>
      <c r="C1344" s="2606"/>
      <c r="D1344" s="2606"/>
      <c r="E1344" s="2606"/>
      <c r="F1344" s="2606"/>
      <c r="G1344" s="2607"/>
    </row>
    <row r="1345" spans="1:7">
      <c r="A1345" s="1474" t="s">
        <v>603</v>
      </c>
      <c r="B1345" s="1306" t="s">
        <v>655</v>
      </c>
      <c r="C1345" s="1306" t="s">
        <v>330</v>
      </c>
      <c r="D1345" s="1306" t="s">
        <v>656</v>
      </c>
      <c r="E1345" s="1512" t="s">
        <v>327</v>
      </c>
      <c r="F1345" s="2613" t="s">
        <v>309</v>
      </c>
      <c r="G1345" s="2614"/>
    </row>
    <row r="1346" spans="1:7" ht="15.75" thickBot="1">
      <c r="A1346" s="1393" t="s">
        <v>2148</v>
      </c>
      <c r="B1346" s="1499">
        <f>24.9+44.7</f>
        <v>69.599999999999994</v>
      </c>
      <c r="C1346" s="1331">
        <v>2.0299999999999998</v>
      </c>
      <c r="D1346" s="1513">
        <f>(9.35*2)+3.59</f>
        <v>22.29</v>
      </c>
      <c r="E1346" s="1515">
        <f>((69.6*2.03))-D1346</f>
        <v>118.99799999999999</v>
      </c>
      <c r="F1346" s="2615"/>
      <c r="G1346" s="2386"/>
    </row>
    <row r="1347" spans="1:7" ht="15.75" thickBot="1">
      <c r="A1347" s="2507"/>
      <c r="B1347" s="2464"/>
      <c r="C1347" s="2465"/>
      <c r="D1347" s="1335" t="s">
        <v>325</v>
      </c>
      <c r="E1347" s="1515">
        <f>E1346</f>
        <v>118.99799999999999</v>
      </c>
      <c r="F1347" s="1517"/>
      <c r="G1347" s="1518"/>
    </row>
    <row r="1348" spans="1:7" ht="15.75" thickBot="1">
      <c r="A1348" s="1462"/>
      <c r="B1348" s="1509"/>
      <c r="C1348" s="1509"/>
      <c r="D1348" s="1510"/>
      <c r="E1348" s="1510"/>
      <c r="F1348" s="1510"/>
      <c r="G1348" s="1511"/>
    </row>
    <row r="1349" spans="1:7" ht="15.75" thickBot="1">
      <c r="A1349" s="1299" t="s">
        <v>2157</v>
      </c>
      <c r="B1349" s="2366" t="s">
        <v>662</v>
      </c>
      <c r="C1349" s="2367"/>
      <c r="D1349" s="2367"/>
      <c r="E1349" s="2367"/>
      <c r="F1349" s="2367"/>
      <c r="G1349" s="2368"/>
    </row>
    <row r="1350" spans="1:7">
      <c r="A1350" s="2618" t="s">
        <v>306</v>
      </c>
      <c r="B1350" s="2619"/>
      <c r="C1350" s="2619"/>
      <c r="D1350" s="2619"/>
      <c r="E1350" s="2619"/>
      <c r="F1350" s="2619"/>
      <c r="G1350" s="2620"/>
    </row>
    <row r="1351" spans="1:7">
      <c r="A1351" s="2605" t="s">
        <v>642</v>
      </c>
      <c r="B1351" s="2606"/>
      <c r="C1351" s="2606"/>
      <c r="D1351" s="2606"/>
      <c r="E1351" s="2606"/>
      <c r="F1351" s="2606"/>
      <c r="G1351" s="2607"/>
    </row>
    <row r="1352" spans="1:7">
      <c r="A1352" s="2608" t="s">
        <v>311</v>
      </c>
      <c r="B1352" s="2609"/>
      <c r="C1352" s="1502" t="s">
        <v>604</v>
      </c>
      <c r="D1352" s="1502" t="s">
        <v>331</v>
      </c>
      <c r="E1352" s="2610" t="s">
        <v>309</v>
      </c>
      <c r="F1352" s="2611"/>
      <c r="G1352" s="2612"/>
    </row>
    <row r="1353" spans="1:7">
      <c r="A1353" s="2547" t="s">
        <v>602</v>
      </c>
      <c r="B1353" s="2393"/>
      <c r="C1353" s="1406">
        <v>334.18</v>
      </c>
      <c r="D1353" s="1519">
        <v>334.18</v>
      </c>
      <c r="E1353" s="2591"/>
      <c r="F1353" s="2592"/>
      <c r="G1353" s="2593"/>
    </row>
    <row r="1354" spans="1:7" ht="15.75" thickBot="1">
      <c r="A1354" s="2507" t="s">
        <v>325</v>
      </c>
      <c r="B1354" s="2464"/>
      <c r="C1354" s="2465"/>
      <c r="D1354" s="1503">
        <f>SUM(D1353)</f>
        <v>334.18</v>
      </c>
      <c r="E1354" s="2555"/>
      <c r="F1354" s="2508"/>
      <c r="G1354" s="2556"/>
    </row>
    <row r="1355" spans="1:7" ht="15.75" thickBot="1">
      <c r="A1355" s="1462"/>
      <c r="B1355" s="1509"/>
      <c r="C1355" s="1509"/>
      <c r="D1355" s="1510"/>
      <c r="E1355" s="1510"/>
      <c r="F1355" s="1510"/>
      <c r="G1355" s="1511"/>
    </row>
    <row r="1356" spans="1:7" ht="15.75" thickBot="1">
      <c r="A1356" s="1299" t="s">
        <v>2158</v>
      </c>
      <c r="B1356" s="2366" t="s">
        <v>663</v>
      </c>
      <c r="C1356" s="2367"/>
      <c r="D1356" s="2367"/>
      <c r="E1356" s="2367"/>
      <c r="F1356" s="2367"/>
      <c r="G1356" s="2368"/>
    </row>
    <row r="1357" spans="1:7">
      <c r="A1357" s="2435" t="s">
        <v>306</v>
      </c>
      <c r="B1357" s="2436"/>
      <c r="C1357" s="2436"/>
      <c r="D1357" s="2436"/>
      <c r="E1357" s="2436"/>
      <c r="F1357" s="2436"/>
      <c r="G1357" s="2437"/>
    </row>
    <row r="1358" spans="1:7">
      <c r="A1358" s="2605" t="s">
        <v>642</v>
      </c>
      <c r="B1358" s="2606"/>
      <c r="C1358" s="2606"/>
      <c r="D1358" s="2606"/>
      <c r="E1358" s="2606"/>
      <c r="F1358" s="2606"/>
      <c r="G1358" s="2607"/>
    </row>
    <row r="1359" spans="1:7">
      <c r="A1359" s="2608" t="s">
        <v>311</v>
      </c>
      <c r="B1359" s="2609"/>
      <c r="C1359" s="1502" t="s">
        <v>338</v>
      </c>
      <c r="D1359" s="1502" t="s">
        <v>331</v>
      </c>
      <c r="E1359" s="2610" t="s">
        <v>309</v>
      </c>
      <c r="F1359" s="2611"/>
      <c r="G1359" s="2612"/>
    </row>
    <row r="1360" spans="1:7">
      <c r="A1360" s="2547" t="s">
        <v>602</v>
      </c>
      <c r="B1360" s="2393"/>
      <c r="C1360" s="1406">
        <v>2.89</v>
      </c>
      <c r="D1360" s="1519">
        <f>2.89*2</f>
        <v>5.78</v>
      </c>
      <c r="E1360" s="2591" t="s">
        <v>664</v>
      </c>
      <c r="F1360" s="2592"/>
      <c r="G1360" s="2593"/>
    </row>
    <row r="1361" spans="1:7" ht="15.75" thickBot="1">
      <c r="A1361" s="2507" t="s">
        <v>325</v>
      </c>
      <c r="B1361" s="2464"/>
      <c r="C1361" s="2465"/>
      <c r="D1361" s="1503">
        <f>SUM(D1360)</f>
        <v>5.78</v>
      </c>
      <c r="E1361" s="2555"/>
      <c r="F1361" s="2508"/>
      <c r="G1361" s="2556"/>
    </row>
    <row r="1362" spans="1:7" ht="15.75" thickBot="1">
      <c r="A1362" s="1284"/>
      <c r="B1362" s="1285"/>
      <c r="C1362" s="1285"/>
      <c r="D1362" s="1285"/>
      <c r="E1362" s="1285"/>
      <c r="F1362" s="1285"/>
      <c r="G1362" s="1286"/>
    </row>
    <row r="1363" spans="1:7" ht="15.75" thickBot="1">
      <c r="A1363" s="1299" t="s">
        <v>2159</v>
      </c>
      <c r="B1363" s="2366" t="s">
        <v>665</v>
      </c>
      <c r="C1363" s="2367"/>
      <c r="D1363" s="2367"/>
      <c r="E1363" s="2367"/>
      <c r="F1363" s="2367"/>
      <c r="G1363" s="2368"/>
    </row>
    <row r="1364" spans="1:7">
      <c r="A1364" s="2435" t="s">
        <v>306</v>
      </c>
      <c r="B1364" s="2436"/>
      <c r="C1364" s="2436"/>
      <c r="D1364" s="2436"/>
      <c r="E1364" s="2436"/>
      <c r="F1364" s="2436"/>
      <c r="G1364" s="2437"/>
    </row>
    <row r="1365" spans="1:7">
      <c r="A1365" s="2605" t="s">
        <v>642</v>
      </c>
      <c r="B1365" s="2606"/>
      <c r="C1365" s="2606"/>
      <c r="D1365" s="2606"/>
      <c r="E1365" s="2606"/>
      <c r="F1365" s="2606"/>
      <c r="G1365" s="2607"/>
    </row>
    <row r="1366" spans="1:7">
      <c r="A1366" s="2608" t="s">
        <v>311</v>
      </c>
      <c r="B1366" s="2609"/>
      <c r="C1366" s="1502" t="s">
        <v>666</v>
      </c>
      <c r="D1366" s="1502" t="s">
        <v>337</v>
      </c>
      <c r="E1366" s="2610" t="s">
        <v>309</v>
      </c>
      <c r="F1366" s="2611"/>
      <c r="G1366" s="2612"/>
    </row>
    <row r="1367" spans="1:7">
      <c r="A1367" s="2547" t="s">
        <v>2160</v>
      </c>
      <c r="B1367" s="2393"/>
      <c r="C1367" s="1406">
        <f>7.7+(4.9*5)+20.8+(5*5)+(5.9*3)+((0.31+1.2+(1.41*6)+0.7))*2</f>
        <v>117.03999999999999</v>
      </c>
      <c r="D1367" s="1519">
        <f>C1367</f>
        <v>117.03999999999999</v>
      </c>
      <c r="E1367" s="2591"/>
      <c r="F1367" s="2592"/>
      <c r="G1367" s="2593"/>
    </row>
    <row r="1368" spans="1:7" ht="15.75" thickBot="1">
      <c r="A1368" s="2507" t="s">
        <v>325</v>
      </c>
      <c r="B1368" s="2464"/>
      <c r="C1368" s="2465"/>
      <c r="D1368" s="1503">
        <f>SUM(D1367)</f>
        <v>117.03999999999999</v>
      </c>
      <c r="E1368" s="2555"/>
      <c r="F1368" s="2508"/>
      <c r="G1368" s="2556"/>
    </row>
    <row r="1369" spans="1:7" ht="15.75" thickBot="1">
      <c r="A1369" s="1284"/>
      <c r="B1369" s="1285"/>
      <c r="C1369" s="1285"/>
      <c r="D1369" s="1285"/>
      <c r="E1369" s="1285"/>
      <c r="F1369" s="1285"/>
      <c r="G1369" s="1286"/>
    </row>
    <row r="1370" spans="1:7" ht="15.75" thickBot="1">
      <c r="A1370" s="1299" t="s">
        <v>2161</v>
      </c>
      <c r="B1370" s="2366" t="s">
        <v>667</v>
      </c>
      <c r="C1370" s="2367"/>
      <c r="D1370" s="2367"/>
      <c r="E1370" s="2367"/>
      <c r="F1370" s="2367"/>
      <c r="G1370" s="2368"/>
    </row>
    <row r="1371" spans="1:7">
      <c r="A1371" s="2435" t="s">
        <v>306</v>
      </c>
      <c r="B1371" s="2436"/>
      <c r="C1371" s="2436"/>
      <c r="D1371" s="2436"/>
      <c r="E1371" s="2436"/>
      <c r="F1371" s="2436"/>
      <c r="G1371" s="2437"/>
    </row>
    <row r="1372" spans="1:7">
      <c r="A1372" s="2372" t="s">
        <v>668</v>
      </c>
      <c r="B1372" s="2373"/>
      <c r="C1372" s="2373"/>
      <c r="D1372" s="2373"/>
      <c r="E1372" s="2373"/>
      <c r="F1372" s="2373"/>
      <c r="G1372" s="2374"/>
    </row>
    <row r="1373" spans="1:7">
      <c r="A1373" s="1507" t="s">
        <v>311</v>
      </c>
      <c r="B1373" s="1502" t="s">
        <v>669</v>
      </c>
      <c r="C1373" s="1502" t="s">
        <v>338</v>
      </c>
      <c r="D1373" s="1502" t="s">
        <v>670</v>
      </c>
      <c r="E1373" s="2610" t="s">
        <v>309</v>
      </c>
      <c r="F1373" s="2611"/>
      <c r="G1373" s="2612"/>
    </row>
    <row r="1374" spans="1:7">
      <c r="A1374" s="1393" t="s">
        <v>671</v>
      </c>
      <c r="B1374" s="1520">
        <v>248</v>
      </c>
      <c r="C1374" s="1317">
        <f>0.25*0.25</f>
        <v>6.25E-2</v>
      </c>
      <c r="D1374" s="1418">
        <f>ROUNDUP(C1374*B1374,2)</f>
        <v>15.5</v>
      </c>
      <c r="E1374" s="2493" t="s">
        <v>672</v>
      </c>
      <c r="F1374" s="2494"/>
      <c r="G1374" s="2495"/>
    </row>
    <row r="1375" spans="1:7">
      <c r="A1375" s="1393" t="s">
        <v>673</v>
      </c>
      <c r="B1375" s="1520">
        <v>63</v>
      </c>
      <c r="C1375" s="1317">
        <f>0.25*0.25</f>
        <v>6.25E-2</v>
      </c>
      <c r="D1375" s="1418">
        <f>ROUNDUP(C1375*B1375,2)</f>
        <v>3.94</v>
      </c>
      <c r="E1375" s="2572"/>
      <c r="F1375" s="2621"/>
      <c r="G1375" s="2573"/>
    </row>
    <row r="1376" spans="1:7" ht="15.75" thickBot="1">
      <c r="A1376" s="1521" t="s">
        <v>325</v>
      </c>
      <c r="B1376" s="1522">
        <f>ROUNDUP(B1375+B1374,2)</f>
        <v>311</v>
      </c>
      <c r="C1376" s="1523"/>
      <c r="D1376" s="1503">
        <f>ROUNDUP(D1375+D1374,2)</f>
        <v>19.440000000000001</v>
      </c>
      <c r="E1376" s="2622"/>
      <c r="F1376" s="2623"/>
      <c r="G1376" s="2624"/>
    </row>
    <row r="1377" spans="1:7" ht="15.75" thickBot="1">
      <c r="A1377" s="1284"/>
      <c r="B1377" s="1285"/>
      <c r="C1377" s="1285"/>
      <c r="D1377" s="1285"/>
      <c r="E1377" s="1285"/>
      <c r="F1377" s="1285"/>
      <c r="G1377" s="1286"/>
    </row>
    <row r="1378" spans="1:7" ht="15.75" thickBot="1">
      <c r="A1378" s="1299" t="s">
        <v>2162</v>
      </c>
      <c r="B1378" s="2366" t="s">
        <v>2163</v>
      </c>
      <c r="C1378" s="2367"/>
      <c r="D1378" s="2367"/>
      <c r="E1378" s="2367"/>
      <c r="F1378" s="2367"/>
      <c r="G1378" s="2368"/>
    </row>
    <row r="1379" spans="1:7">
      <c r="A1379" s="2411" t="s">
        <v>306</v>
      </c>
      <c r="B1379" s="2412"/>
      <c r="C1379" s="2412"/>
      <c r="D1379" s="2412"/>
      <c r="E1379" s="2412"/>
      <c r="F1379" s="2412"/>
      <c r="G1379" s="2413"/>
    </row>
    <row r="1380" spans="1:7">
      <c r="A1380" s="2605" t="s">
        <v>642</v>
      </c>
      <c r="B1380" s="2606"/>
      <c r="C1380" s="2606"/>
      <c r="D1380" s="2606"/>
      <c r="E1380" s="2606"/>
      <c r="F1380" s="2606"/>
      <c r="G1380" s="2607"/>
    </row>
    <row r="1381" spans="1:7">
      <c r="A1381" s="1474" t="s">
        <v>603</v>
      </c>
      <c r="B1381" s="1306" t="s">
        <v>655</v>
      </c>
      <c r="C1381" s="1306" t="s">
        <v>330</v>
      </c>
      <c r="D1381" s="1306" t="s">
        <v>656</v>
      </c>
      <c r="E1381" s="1512" t="s">
        <v>327</v>
      </c>
      <c r="F1381" s="2613" t="s">
        <v>309</v>
      </c>
      <c r="G1381" s="2614"/>
    </row>
    <row r="1382" spans="1:7">
      <c r="A1382" s="1393" t="s">
        <v>2164</v>
      </c>
      <c r="B1382" s="1499">
        <f>73.76+38.25</f>
        <v>112.01</v>
      </c>
      <c r="C1382" s="1331">
        <v>2.5</v>
      </c>
      <c r="D1382" s="1513"/>
      <c r="E1382" s="1514">
        <f>B1382*C1382</f>
        <v>280.02500000000003</v>
      </c>
      <c r="F1382" s="2615"/>
      <c r="G1382" s="2386"/>
    </row>
    <row r="1383" spans="1:7" ht="15.75" thickBot="1">
      <c r="A1383" s="2507"/>
      <c r="B1383" s="2464"/>
      <c r="C1383" s="2465"/>
      <c r="D1383" s="1335" t="s">
        <v>325</v>
      </c>
      <c r="E1383" s="1515">
        <f>E1382</f>
        <v>280.02500000000003</v>
      </c>
      <c r="F1383" s="1517"/>
      <c r="G1383" s="1518"/>
    </row>
    <row r="1384" spans="1:7" ht="15.75" thickBot="1">
      <c r="A1384" s="1284"/>
      <c r="B1384" s="1285"/>
      <c r="C1384" s="1285"/>
      <c r="D1384" s="1285"/>
      <c r="E1384" s="1285"/>
      <c r="F1384" s="1285"/>
      <c r="G1384" s="1286"/>
    </row>
    <row r="1385" spans="1:7" ht="15.75" thickBot="1">
      <c r="A1385" s="1299" t="s">
        <v>2165</v>
      </c>
      <c r="B1385" s="2366" t="s">
        <v>2166</v>
      </c>
      <c r="C1385" s="2367"/>
      <c r="D1385" s="2367"/>
      <c r="E1385" s="2367"/>
      <c r="F1385" s="2367"/>
      <c r="G1385" s="2368"/>
    </row>
    <row r="1386" spans="1:7">
      <c r="A1386" s="2411" t="s">
        <v>306</v>
      </c>
      <c r="B1386" s="2412"/>
      <c r="C1386" s="2412"/>
      <c r="D1386" s="2412"/>
      <c r="E1386" s="2412"/>
      <c r="F1386" s="2412"/>
      <c r="G1386" s="2413"/>
    </row>
    <row r="1387" spans="1:7">
      <c r="A1387" s="2605" t="s">
        <v>642</v>
      </c>
      <c r="B1387" s="2606"/>
      <c r="C1387" s="2606"/>
      <c r="D1387" s="2606"/>
      <c r="E1387" s="2606"/>
      <c r="F1387" s="2606"/>
      <c r="G1387" s="2607"/>
    </row>
    <row r="1388" spans="1:7">
      <c r="A1388" s="1474" t="s">
        <v>603</v>
      </c>
      <c r="B1388" s="1306" t="s">
        <v>655</v>
      </c>
      <c r="C1388" s="1306" t="s">
        <v>330</v>
      </c>
      <c r="D1388" s="1306" t="s">
        <v>656</v>
      </c>
      <c r="E1388" s="1512" t="s">
        <v>327</v>
      </c>
      <c r="F1388" s="2613" t="s">
        <v>309</v>
      </c>
      <c r="G1388" s="2614"/>
    </row>
    <row r="1389" spans="1:7">
      <c r="A1389" s="1393" t="s">
        <v>2167</v>
      </c>
      <c r="B1389" s="1499">
        <f>((73.76+38.25)*2)</f>
        <v>224.02</v>
      </c>
      <c r="C1389" s="1331">
        <v>2.5</v>
      </c>
      <c r="D1389" s="1513"/>
      <c r="E1389" s="1514">
        <f>B1389*C1389</f>
        <v>560.05000000000007</v>
      </c>
      <c r="F1389" s="2615"/>
      <c r="G1389" s="2386"/>
    </row>
    <row r="1390" spans="1:7">
      <c r="A1390" s="1393" t="s">
        <v>2168</v>
      </c>
      <c r="B1390" s="1499">
        <f>(73.76+38.25)</f>
        <v>112.01</v>
      </c>
      <c r="C1390" s="1331">
        <v>0.15</v>
      </c>
      <c r="D1390" s="1513"/>
      <c r="E1390" s="1514">
        <f>B1390*C1390</f>
        <v>16.801500000000001</v>
      </c>
      <c r="F1390" s="1349"/>
      <c r="G1390" s="1524"/>
    </row>
    <row r="1391" spans="1:7" ht="15.75" thickBot="1">
      <c r="A1391" s="2507"/>
      <c r="B1391" s="2464"/>
      <c r="C1391" s="2465"/>
      <c r="D1391" s="1335" t="s">
        <v>325</v>
      </c>
      <c r="E1391" s="1515">
        <f>SUM(E1389:E1390)</f>
        <v>576.8515000000001</v>
      </c>
      <c r="F1391" s="1296"/>
      <c r="G1391" s="1516"/>
    </row>
    <row r="1392" spans="1:7" ht="15.75" thickBot="1">
      <c r="A1392" s="1284"/>
      <c r="B1392" s="1285"/>
      <c r="C1392" s="1285"/>
      <c r="D1392" s="1285"/>
      <c r="E1392" s="1285"/>
      <c r="F1392" s="1285"/>
      <c r="G1392" s="1286"/>
    </row>
    <row r="1393" spans="1:7" ht="15.75" thickBot="1">
      <c r="A1393" s="1299" t="s">
        <v>2169</v>
      </c>
      <c r="B1393" s="2366" t="s">
        <v>2170</v>
      </c>
      <c r="C1393" s="2367"/>
      <c r="D1393" s="2367"/>
      <c r="E1393" s="2367"/>
      <c r="F1393" s="2367"/>
      <c r="G1393" s="2368"/>
    </row>
    <row r="1394" spans="1:7">
      <c r="A1394" s="2411" t="s">
        <v>306</v>
      </c>
      <c r="B1394" s="2412"/>
      <c r="C1394" s="2412"/>
      <c r="D1394" s="2412"/>
      <c r="E1394" s="2412"/>
      <c r="F1394" s="2412"/>
      <c r="G1394" s="2413"/>
    </row>
    <row r="1395" spans="1:7">
      <c r="A1395" s="2605" t="s">
        <v>642</v>
      </c>
      <c r="B1395" s="2606"/>
      <c r="C1395" s="2606"/>
      <c r="D1395" s="2606"/>
      <c r="E1395" s="2606"/>
      <c r="F1395" s="2606"/>
      <c r="G1395" s="2607"/>
    </row>
    <row r="1396" spans="1:7">
      <c r="A1396" s="1474" t="s">
        <v>603</v>
      </c>
      <c r="B1396" s="1306" t="s">
        <v>655</v>
      </c>
      <c r="C1396" s="1306" t="s">
        <v>330</v>
      </c>
      <c r="D1396" s="1306" t="s">
        <v>656</v>
      </c>
      <c r="E1396" s="1512" t="s">
        <v>327</v>
      </c>
      <c r="F1396" s="2613" t="s">
        <v>309</v>
      </c>
      <c r="G1396" s="2614"/>
    </row>
    <row r="1397" spans="1:7">
      <c r="A1397" s="1393" t="s">
        <v>2167</v>
      </c>
      <c r="B1397" s="1499">
        <f>((73.76+38.25)*2)</f>
        <v>224.02</v>
      </c>
      <c r="C1397" s="1331">
        <v>2.5</v>
      </c>
      <c r="D1397" s="1513"/>
      <c r="E1397" s="1514">
        <f>B1397*C1397</f>
        <v>560.05000000000007</v>
      </c>
      <c r="F1397" s="2615"/>
      <c r="G1397" s="2386"/>
    </row>
    <row r="1398" spans="1:7">
      <c r="A1398" s="1393" t="s">
        <v>2168</v>
      </c>
      <c r="B1398" s="1499">
        <f>(73.76+38.25)</f>
        <v>112.01</v>
      </c>
      <c r="C1398" s="1331">
        <v>0.15</v>
      </c>
      <c r="D1398" s="1513"/>
      <c r="E1398" s="1514">
        <f>B1398*C1398</f>
        <v>16.801500000000001</v>
      </c>
      <c r="F1398" s="1349"/>
      <c r="G1398" s="1524"/>
    </row>
    <row r="1399" spans="1:7" ht="15.75" thickBot="1">
      <c r="A1399" s="2507"/>
      <c r="B1399" s="2464"/>
      <c r="C1399" s="2465"/>
      <c r="D1399" s="1335" t="s">
        <v>325</v>
      </c>
      <c r="E1399" s="1515">
        <f>SUM(E1397:E1398)</f>
        <v>576.8515000000001</v>
      </c>
      <c r="F1399" s="1296"/>
      <c r="G1399" s="1516"/>
    </row>
    <row r="1400" spans="1:7" ht="15.75" thickBot="1">
      <c r="A1400" s="1284"/>
      <c r="B1400" s="1285"/>
      <c r="C1400" s="1285"/>
      <c r="D1400" s="1285"/>
      <c r="E1400" s="1285"/>
      <c r="F1400" s="1285"/>
      <c r="G1400" s="1286"/>
    </row>
    <row r="1401" spans="1:7" ht="15.75" thickBot="1">
      <c r="A1401" s="1299" t="s">
        <v>2171</v>
      </c>
      <c r="B1401" s="2366" t="s">
        <v>2172</v>
      </c>
      <c r="C1401" s="2367"/>
      <c r="D1401" s="2367"/>
      <c r="E1401" s="2367"/>
      <c r="F1401" s="2367"/>
      <c r="G1401" s="2368"/>
    </row>
    <row r="1402" spans="1:7">
      <c r="A1402" s="2411" t="s">
        <v>306</v>
      </c>
      <c r="B1402" s="2412"/>
      <c r="C1402" s="2412"/>
      <c r="D1402" s="2412"/>
      <c r="E1402" s="2412"/>
      <c r="F1402" s="2412"/>
      <c r="G1402" s="2413"/>
    </row>
    <row r="1403" spans="1:7">
      <c r="A1403" s="2605" t="s">
        <v>642</v>
      </c>
      <c r="B1403" s="2606"/>
      <c r="C1403" s="2606"/>
      <c r="D1403" s="2606"/>
      <c r="E1403" s="2606"/>
      <c r="F1403" s="2606"/>
      <c r="G1403" s="2607"/>
    </row>
    <row r="1404" spans="1:7">
      <c r="A1404" s="1474" t="s">
        <v>603</v>
      </c>
      <c r="B1404" s="1306" t="s">
        <v>655</v>
      </c>
      <c r="C1404" s="1306" t="s">
        <v>330</v>
      </c>
      <c r="D1404" s="1306" t="s">
        <v>656</v>
      </c>
      <c r="E1404" s="1512" t="s">
        <v>327</v>
      </c>
      <c r="F1404" s="2613" t="s">
        <v>309</v>
      </c>
      <c r="G1404" s="2614"/>
    </row>
    <row r="1405" spans="1:7">
      <c r="A1405" s="1393" t="s">
        <v>2167</v>
      </c>
      <c r="B1405" s="1499">
        <f>((73.76+38.25)*2)</f>
        <v>224.02</v>
      </c>
      <c r="C1405" s="1331">
        <v>2.5</v>
      </c>
      <c r="D1405" s="1513"/>
      <c r="E1405" s="1514">
        <f>B1405*C1405</f>
        <v>560.05000000000007</v>
      </c>
      <c r="F1405" s="2615"/>
      <c r="G1405" s="2386"/>
    </row>
    <row r="1406" spans="1:7">
      <c r="A1406" s="1393" t="s">
        <v>2168</v>
      </c>
      <c r="B1406" s="1499">
        <f>(73.76+38.25)</f>
        <v>112.01</v>
      </c>
      <c r="C1406" s="1331">
        <v>0.15</v>
      </c>
      <c r="D1406" s="1513"/>
      <c r="E1406" s="1514">
        <f>B1406*C1406</f>
        <v>16.801500000000001</v>
      </c>
      <c r="F1406" s="1349"/>
      <c r="G1406" s="1524"/>
    </row>
    <row r="1407" spans="1:7" ht="15.75" thickBot="1">
      <c r="A1407" s="2507"/>
      <c r="B1407" s="2464"/>
      <c r="C1407" s="2465"/>
      <c r="D1407" s="1335" t="s">
        <v>325</v>
      </c>
      <c r="E1407" s="1515">
        <f>SUM(E1405:E1406)</f>
        <v>576.8515000000001</v>
      </c>
      <c r="F1407" s="1296"/>
      <c r="G1407" s="1516"/>
    </row>
    <row r="1408" spans="1:7" ht="15.75" thickBot="1">
      <c r="A1408" s="1284"/>
      <c r="B1408" s="1285"/>
      <c r="C1408" s="1285"/>
      <c r="D1408" s="1285"/>
      <c r="E1408" s="1285"/>
      <c r="F1408" s="1285"/>
      <c r="G1408" s="1286"/>
    </row>
    <row r="1409" spans="1:7" ht="15.75" thickBot="1">
      <c r="A1409" s="1299" t="s">
        <v>2173</v>
      </c>
      <c r="B1409" s="2366" t="s">
        <v>2174</v>
      </c>
      <c r="C1409" s="2367"/>
      <c r="D1409" s="2367"/>
      <c r="E1409" s="2367"/>
      <c r="F1409" s="2367"/>
      <c r="G1409" s="2368"/>
    </row>
    <row r="1410" spans="1:7">
      <c r="A1410" s="2411" t="s">
        <v>306</v>
      </c>
      <c r="B1410" s="2412"/>
      <c r="C1410" s="2412"/>
      <c r="D1410" s="2412"/>
      <c r="E1410" s="2412"/>
      <c r="F1410" s="2412"/>
      <c r="G1410" s="2413"/>
    </row>
    <row r="1411" spans="1:7">
      <c r="A1411" s="2605" t="s">
        <v>642</v>
      </c>
      <c r="B1411" s="2606"/>
      <c r="C1411" s="2606"/>
      <c r="D1411" s="2606"/>
      <c r="E1411" s="2606"/>
      <c r="F1411" s="2606"/>
      <c r="G1411" s="2607"/>
    </row>
    <row r="1412" spans="1:7">
      <c r="A1412" s="1474" t="s">
        <v>603</v>
      </c>
      <c r="B1412" s="1306" t="s">
        <v>655</v>
      </c>
      <c r="C1412" s="1306" t="s">
        <v>330</v>
      </c>
      <c r="D1412" s="1306" t="s">
        <v>656</v>
      </c>
      <c r="E1412" s="1512" t="s">
        <v>327</v>
      </c>
      <c r="F1412" s="2613" t="s">
        <v>309</v>
      </c>
      <c r="G1412" s="2614"/>
    </row>
    <row r="1413" spans="1:7">
      <c r="A1413" s="1393" t="s">
        <v>2167</v>
      </c>
      <c r="B1413" s="1499">
        <f>((73.76+38.25)*2)</f>
        <v>224.02</v>
      </c>
      <c r="C1413" s="1331">
        <v>2.5</v>
      </c>
      <c r="D1413" s="1513"/>
      <c r="E1413" s="1514">
        <f>B1413*C1413</f>
        <v>560.05000000000007</v>
      </c>
      <c r="F1413" s="2615"/>
      <c r="G1413" s="2386"/>
    </row>
    <row r="1414" spans="1:7">
      <c r="A1414" s="1393" t="s">
        <v>2168</v>
      </c>
      <c r="B1414" s="1499">
        <f>(73.76+38.25)</f>
        <v>112.01</v>
      </c>
      <c r="C1414" s="1331">
        <v>0.15</v>
      </c>
      <c r="D1414" s="1513"/>
      <c r="E1414" s="1514">
        <f>B1414*C1414</f>
        <v>16.801500000000001</v>
      </c>
      <c r="F1414" s="1349"/>
      <c r="G1414" s="1524"/>
    </row>
    <row r="1415" spans="1:7" ht="15.75" thickBot="1">
      <c r="A1415" s="2507"/>
      <c r="B1415" s="2464"/>
      <c r="C1415" s="2465"/>
      <c r="D1415" s="1335" t="s">
        <v>325</v>
      </c>
      <c r="E1415" s="1515">
        <f>SUM(E1413:E1414)</f>
        <v>576.8515000000001</v>
      </c>
      <c r="F1415" s="1296"/>
      <c r="G1415" s="1516"/>
    </row>
    <row r="1416" spans="1:7" ht="15.75" thickBot="1">
      <c r="A1416" s="1284"/>
      <c r="B1416" s="1285"/>
      <c r="C1416" s="1285"/>
      <c r="D1416" s="1285"/>
      <c r="E1416" s="1285"/>
      <c r="F1416" s="1285"/>
      <c r="G1416" s="1286"/>
    </row>
    <row r="1417" spans="1:7" ht="15.75" thickBot="1">
      <c r="A1417" s="1299" t="s">
        <v>2175</v>
      </c>
      <c r="B1417" s="2366" t="s">
        <v>2176</v>
      </c>
      <c r="C1417" s="2367"/>
      <c r="D1417" s="2367"/>
      <c r="E1417" s="2367"/>
      <c r="F1417" s="2367"/>
      <c r="G1417" s="2368"/>
    </row>
    <row r="1418" spans="1:7">
      <c r="A1418" s="2411" t="s">
        <v>306</v>
      </c>
      <c r="B1418" s="2412"/>
      <c r="C1418" s="2412"/>
      <c r="D1418" s="2412"/>
      <c r="E1418" s="2412"/>
      <c r="F1418" s="2412"/>
      <c r="G1418" s="2413"/>
    </row>
    <row r="1419" spans="1:7">
      <c r="A1419" s="2372" t="s">
        <v>2177</v>
      </c>
      <c r="B1419" s="2373"/>
      <c r="C1419" s="2373"/>
      <c r="D1419" s="2373"/>
      <c r="E1419" s="2373"/>
      <c r="F1419" s="2373"/>
      <c r="G1419" s="2374"/>
    </row>
    <row r="1420" spans="1:7">
      <c r="A1420" s="1474" t="s">
        <v>603</v>
      </c>
      <c r="B1420" s="1306" t="s">
        <v>655</v>
      </c>
      <c r="C1420" s="1306" t="s">
        <v>330</v>
      </c>
      <c r="D1420" s="1306" t="s">
        <v>656</v>
      </c>
      <c r="E1420" s="1512" t="s">
        <v>327</v>
      </c>
      <c r="F1420" s="2613" t="s">
        <v>309</v>
      </c>
      <c r="G1420" s="2614"/>
    </row>
    <row r="1421" spans="1:7">
      <c r="A1421" s="1393" t="s">
        <v>2178</v>
      </c>
      <c r="B1421" s="1499">
        <f>4.23+5.33</f>
        <v>9.56</v>
      </c>
      <c r="C1421" s="1331">
        <v>3.02</v>
      </c>
      <c r="D1421" s="1513"/>
      <c r="E1421" s="1514">
        <f>B1421*C1421</f>
        <v>28.871200000000002</v>
      </c>
      <c r="F1421" s="2594" t="s">
        <v>2179</v>
      </c>
      <c r="G1421" s="2595"/>
    </row>
    <row r="1422" spans="1:7" ht="15.75" thickBot="1">
      <c r="A1422" s="2507"/>
      <c r="B1422" s="2464"/>
      <c r="C1422" s="2465"/>
      <c r="D1422" s="1335" t="s">
        <v>325</v>
      </c>
      <c r="E1422" s="1515">
        <f>SUM(E1421:E1421)</f>
        <v>28.871200000000002</v>
      </c>
      <c r="F1422" s="2631"/>
      <c r="G1422" s="2632"/>
    </row>
    <row r="1423" spans="1:7" ht="15.75" thickBot="1">
      <c r="A1423" s="1284"/>
      <c r="B1423" s="1285"/>
      <c r="C1423" s="1285"/>
      <c r="D1423" s="1285"/>
      <c r="E1423" s="1285"/>
      <c r="F1423" s="1285"/>
      <c r="G1423" s="1286"/>
    </row>
    <row r="1424" spans="1:7" ht="15.75" thickBot="1">
      <c r="A1424" s="1299" t="s">
        <v>2180</v>
      </c>
      <c r="B1424" s="2366" t="s">
        <v>674</v>
      </c>
      <c r="C1424" s="2367"/>
      <c r="D1424" s="2367"/>
      <c r="E1424" s="2367"/>
      <c r="F1424" s="2367"/>
      <c r="G1424" s="2368"/>
    </row>
    <row r="1425" spans="1:7">
      <c r="A1425" s="2411" t="s">
        <v>306</v>
      </c>
      <c r="B1425" s="2412"/>
      <c r="C1425" s="2412"/>
      <c r="D1425" s="2412"/>
      <c r="E1425" s="2412"/>
      <c r="F1425" s="2412"/>
      <c r="G1425" s="2413"/>
    </row>
    <row r="1426" spans="1:7">
      <c r="A1426" s="2605" t="s">
        <v>642</v>
      </c>
      <c r="B1426" s="2606"/>
      <c r="C1426" s="2606"/>
      <c r="D1426" s="2606"/>
      <c r="E1426" s="2606"/>
      <c r="F1426" s="2606"/>
      <c r="G1426" s="2607"/>
    </row>
    <row r="1427" spans="1:7">
      <c r="A1427" s="1474" t="s">
        <v>675</v>
      </c>
      <c r="B1427" s="1306" t="s">
        <v>669</v>
      </c>
      <c r="C1427" s="2599" t="s">
        <v>309</v>
      </c>
      <c r="D1427" s="2377"/>
      <c r="E1427" s="2377"/>
      <c r="F1427" s="2377"/>
      <c r="G1427" s="2378"/>
    </row>
    <row r="1428" spans="1:7">
      <c r="A1428" s="1525">
        <v>40</v>
      </c>
      <c r="B1428" s="1526">
        <v>4</v>
      </c>
      <c r="C1428" s="2625"/>
      <c r="D1428" s="2626"/>
      <c r="E1428" s="2626"/>
      <c r="F1428" s="2626"/>
      <c r="G1428" s="2627"/>
    </row>
    <row r="1429" spans="1:7">
      <c r="A1429" s="1393">
        <v>20</v>
      </c>
      <c r="B1429" s="1527">
        <v>46</v>
      </c>
      <c r="C1429" s="2628"/>
      <c r="D1429" s="2629"/>
      <c r="E1429" s="2629"/>
      <c r="F1429" s="2629"/>
      <c r="G1429" s="2630"/>
    </row>
    <row r="1430" spans="1:7" ht="15.75" thickBot="1">
      <c r="A1430" s="1528"/>
      <c r="B1430" s="1464"/>
      <c r="C1430" s="1529"/>
      <c r="D1430" s="1529"/>
      <c r="E1430" s="1529"/>
      <c r="F1430" s="1529"/>
      <c r="G1430" s="1530"/>
    </row>
    <row r="1431" spans="1:7" ht="15.75" thickBot="1">
      <c r="A1431" s="1284"/>
      <c r="B1431" s="1285"/>
      <c r="C1431" s="1285"/>
      <c r="D1431" s="1285"/>
      <c r="E1431" s="1285"/>
      <c r="F1431" s="1285"/>
      <c r="G1431" s="1286"/>
    </row>
    <row r="1432" spans="1:7" ht="15.75" thickBot="1">
      <c r="A1432" s="1299">
        <v>22</v>
      </c>
      <c r="B1432" s="2366" t="s">
        <v>2181</v>
      </c>
      <c r="C1432" s="2367"/>
      <c r="D1432" s="2367"/>
      <c r="E1432" s="2367"/>
      <c r="F1432" s="2367"/>
      <c r="G1432" s="2368"/>
    </row>
    <row r="1433" spans="1:7" ht="15.75" thickBot="1">
      <c r="A1433" s="1299" t="s">
        <v>2182</v>
      </c>
      <c r="B1433" s="1531" t="s">
        <v>2183</v>
      </c>
      <c r="C1433" s="1532"/>
      <c r="D1433" s="1532"/>
      <c r="E1433" s="1532"/>
      <c r="F1433" s="1532"/>
      <c r="G1433" s="1533"/>
    </row>
    <row r="1434" spans="1:7">
      <c r="A1434" s="2369" t="s">
        <v>306</v>
      </c>
      <c r="B1434" s="2370"/>
      <c r="C1434" s="2370"/>
      <c r="D1434" s="2370"/>
      <c r="E1434" s="2370"/>
      <c r="F1434" s="2370"/>
      <c r="G1434" s="2371"/>
    </row>
    <row r="1435" spans="1:7">
      <c r="A1435" s="2372" t="s">
        <v>2184</v>
      </c>
      <c r="B1435" s="2373"/>
      <c r="C1435" s="2373"/>
      <c r="D1435" s="2373"/>
      <c r="E1435" s="2373"/>
      <c r="F1435" s="2373"/>
      <c r="G1435" s="2374"/>
    </row>
    <row r="1436" spans="1:7">
      <c r="A1436" s="2466" t="s">
        <v>1811</v>
      </c>
      <c r="B1436" s="2448"/>
      <c r="C1436" s="1314" t="s">
        <v>308</v>
      </c>
      <c r="D1436" s="1314" t="s">
        <v>308</v>
      </c>
      <c r="E1436" s="2429" t="s">
        <v>309</v>
      </c>
      <c r="F1436" s="2430"/>
      <c r="G1436" s="2431"/>
    </row>
    <row r="1437" spans="1:7">
      <c r="A1437" s="2547" t="s">
        <v>2185</v>
      </c>
      <c r="B1437" s="2393"/>
      <c r="C1437" s="1372" t="s">
        <v>1982</v>
      </c>
      <c r="D1437" s="1307">
        <f>3.18+2.78+2.78</f>
        <v>8.74</v>
      </c>
      <c r="E1437" s="2392" t="s">
        <v>1983</v>
      </c>
      <c r="F1437" s="2553"/>
      <c r="G1437" s="2554"/>
    </row>
    <row r="1438" spans="1:7">
      <c r="A1438" s="2547" t="s">
        <v>1984</v>
      </c>
      <c r="B1438" s="2393"/>
      <c r="C1438" s="1372" t="s">
        <v>1985</v>
      </c>
      <c r="D1438" s="1307">
        <f>7.7+7.68+7.68</f>
        <v>23.06</v>
      </c>
      <c r="E1438" s="2392" t="s">
        <v>1986</v>
      </c>
      <c r="F1438" s="2553"/>
      <c r="G1438" s="2554"/>
    </row>
    <row r="1439" spans="1:7">
      <c r="A1439" s="2491" t="s">
        <v>2186</v>
      </c>
      <c r="B1439" s="2492"/>
      <c r="C1439" s="2564" t="s">
        <v>2187</v>
      </c>
      <c r="D1439" s="2567">
        <f>34.87+72.37+10.55+19.64+20+10.61</f>
        <v>168.04000000000002</v>
      </c>
      <c r="E1439" s="2548" t="s">
        <v>1989</v>
      </c>
      <c r="F1439" s="2395"/>
      <c r="G1439" s="2549"/>
    </row>
    <row r="1440" spans="1:7">
      <c r="A1440" s="2560"/>
      <c r="B1440" s="2561"/>
      <c r="C1440" s="2565"/>
      <c r="D1440" s="2568"/>
      <c r="E1440" s="2397"/>
      <c r="F1440" s="2398"/>
      <c r="G1440" s="2399"/>
    </row>
    <row r="1441" spans="1:7">
      <c r="A1441" s="2562"/>
      <c r="B1441" s="2563"/>
      <c r="C1441" s="2566"/>
      <c r="D1441" s="2569"/>
      <c r="E1441" s="2400"/>
      <c r="F1441" s="2401"/>
      <c r="G1441" s="2402"/>
    </row>
    <row r="1442" spans="1:7" ht="15.75" thickBot="1">
      <c r="A1442" s="2507" t="s">
        <v>1993</v>
      </c>
      <c r="B1442" s="2464"/>
      <c r="C1442" s="2465"/>
      <c r="D1442" s="1534">
        <f>SUM(D1437:D1441)</f>
        <v>199.84000000000003</v>
      </c>
      <c r="E1442" s="2622"/>
      <c r="F1442" s="2623"/>
      <c r="G1442" s="2624"/>
    </row>
    <row r="1443" spans="1:7" ht="15.75" thickBot="1">
      <c r="A1443" s="1535"/>
      <c r="B1443" s="1535"/>
      <c r="C1443" s="1535"/>
      <c r="D1443" s="1535"/>
      <c r="E1443" s="1535"/>
      <c r="F1443" s="1535"/>
      <c r="G1443" s="1535"/>
    </row>
    <row r="1444" spans="1:7" ht="15.75" thickBot="1">
      <c r="A1444" s="1299" t="s">
        <v>2188</v>
      </c>
      <c r="B1444" s="2366" t="s">
        <v>2189</v>
      </c>
      <c r="C1444" s="2367"/>
      <c r="D1444" s="2367"/>
      <c r="E1444" s="2367"/>
      <c r="F1444" s="2367"/>
      <c r="G1444" s="2368"/>
    </row>
    <row r="1445" spans="1:7">
      <c r="A1445" s="2369" t="s">
        <v>306</v>
      </c>
      <c r="B1445" s="2370"/>
      <c r="C1445" s="2370"/>
      <c r="D1445" s="2370"/>
      <c r="E1445" s="2370"/>
      <c r="F1445" s="2370"/>
      <c r="G1445" s="2371"/>
    </row>
    <row r="1446" spans="1:7">
      <c r="A1446" s="2372" t="s">
        <v>2184</v>
      </c>
      <c r="B1446" s="2373"/>
      <c r="C1446" s="2373"/>
      <c r="D1446" s="2373"/>
      <c r="E1446" s="2373"/>
      <c r="F1446" s="2373"/>
      <c r="G1446" s="2374"/>
    </row>
    <row r="1447" spans="1:7">
      <c r="A1447" s="2466" t="s">
        <v>1811</v>
      </c>
      <c r="B1447" s="2448"/>
      <c r="C1447" s="1314" t="s">
        <v>308</v>
      </c>
      <c r="D1447" s="1314" t="s">
        <v>308</v>
      </c>
      <c r="E1447" s="2429" t="s">
        <v>309</v>
      </c>
      <c r="F1447" s="2430"/>
      <c r="G1447" s="2431"/>
    </row>
    <row r="1448" spans="1:7">
      <c r="A1448" s="2634" t="s">
        <v>2190</v>
      </c>
      <c r="B1448" s="2635"/>
      <c r="C1448" s="1372" t="s">
        <v>2191</v>
      </c>
      <c r="D1448" s="1536">
        <f>31.95+13.7+66.73</f>
        <v>112.38</v>
      </c>
      <c r="E1448" s="2502"/>
      <c r="F1448" s="2503"/>
      <c r="G1448" s="2504"/>
    </row>
    <row r="1449" spans="1:7">
      <c r="A1449" s="2547" t="s">
        <v>2192</v>
      </c>
      <c r="B1449" s="2393"/>
      <c r="C1449" s="1372" t="s">
        <v>2000</v>
      </c>
      <c r="D1449" s="1307">
        <f>68.14+108.42</f>
        <v>176.56</v>
      </c>
      <c r="E1449" s="2502"/>
      <c r="F1449" s="2503"/>
      <c r="G1449" s="2504"/>
    </row>
    <row r="1450" spans="1:7" ht="15.75" thickBot="1">
      <c r="A1450" s="2507" t="s">
        <v>1993</v>
      </c>
      <c r="B1450" s="2464"/>
      <c r="C1450" s="2465"/>
      <c r="D1450" s="1534">
        <f>SUM(D1448:D1448)</f>
        <v>112.38</v>
      </c>
      <c r="E1450" s="2622"/>
      <c r="F1450" s="2623"/>
      <c r="G1450" s="2624"/>
    </row>
    <row r="1451" spans="1:7" ht="5.25" customHeight="1" thickBot="1"/>
    <row r="1452" spans="1:7" ht="43.5" customHeight="1" thickBot="1">
      <c r="A1452" s="2043" t="s">
        <v>136</v>
      </c>
      <c r="B1452" s="2044"/>
      <c r="C1452" s="213"/>
      <c r="D1452" s="2107" t="s">
        <v>2193</v>
      </c>
      <c r="E1452" s="2107"/>
      <c r="F1452" s="2107"/>
      <c r="G1452" s="2331"/>
    </row>
  </sheetData>
  <mergeCells count="1020">
    <mergeCell ref="A1452:B1452"/>
    <mergeCell ref="D1452:G1452"/>
    <mergeCell ref="E138:G141"/>
    <mergeCell ref="A1448:B1448"/>
    <mergeCell ref="E1448:G1448"/>
    <mergeCell ref="A1449:B1449"/>
    <mergeCell ref="E1449:G1449"/>
    <mergeCell ref="A1450:C1450"/>
    <mergeCell ref="E1450:G1450"/>
    <mergeCell ref="A1442:C1442"/>
    <mergeCell ref="E1442:G1442"/>
    <mergeCell ref="B1444:G1444"/>
    <mergeCell ref="A1445:G1445"/>
    <mergeCell ref="A1446:G1446"/>
    <mergeCell ref="A1447:B1447"/>
    <mergeCell ref="E1447:G1447"/>
    <mergeCell ref="A1438:B1438"/>
    <mergeCell ref="E1438:G1438"/>
    <mergeCell ref="A1439:B1441"/>
    <mergeCell ref="C1439:C1441"/>
    <mergeCell ref="D1439:D1441"/>
    <mergeCell ref="E1439:G1441"/>
    <mergeCell ref="A1434:G1434"/>
    <mergeCell ref="A1435:G1435"/>
    <mergeCell ref="A1436:B1436"/>
    <mergeCell ref="E1436:G1436"/>
    <mergeCell ref="A1437:B1437"/>
    <mergeCell ref="E1437:G1437"/>
    <mergeCell ref="B1424:G1424"/>
    <mergeCell ref="A1425:G1425"/>
    <mergeCell ref="A1426:G1426"/>
    <mergeCell ref="C1427:G1427"/>
    <mergeCell ref="C1428:G1429"/>
    <mergeCell ref="B1432:G1432"/>
    <mergeCell ref="B1417:G1417"/>
    <mergeCell ref="A1418:G1418"/>
    <mergeCell ref="A1419:G1419"/>
    <mergeCell ref="F1420:G1420"/>
    <mergeCell ref="F1421:G1422"/>
    <mergeCell ref="A1422:C1422"/>
    <mergeCell ref="B1409:G1409"/>
    <mergeCell ref="A1410:G1410"/>
    <mergeCell ref="A1411:G1411"/>
    <mergeCell ref="F1412:G1412"/>
    <mergeCell ref="F1413:G1413"/>
    <mergeCell ref="A1415:C1415"/>
    <mergeCell ref="B1401:G1401"/>
    <mergeCell ref="A1402:G1402"/>
    <mergeCell ref="A1403:G1403"/>
    <mergeCell ref="F1404:G1404"/>
    <mergeCell ref="F1405:G1405"/>
    <mergeCell ref="A1407:C1407"/>
    <mergeCell ref="B1393:G1393"/>
    <mergeCell ref="A1394:G1394"/>
    <mergeCell ref="A1395:G1395"/>
    <mergeCell ref="F1396:G1396"/>
    <mergeCell ref="F1397:G1397"/>
    <mergeCell ref="A1399:C1399"/>
    <mergeCell ref="B1385:G1385"/>
    <mergeCell ref="A1386:G1386"/>
    <mergeCell ref="A1387:G1387"/>
    <mergeCell ref="F1388:G1388"/>
    <mergeCell ref="F1389:G1389"/>
    <mergeCell ref="A1391:C1391"/>
    <mergeCell ref="B1378:G1378"/>
    <mergeCell ref="A1379:G1379"/>
    <mergeCell ref="A1380:G1380"/>
    <mergeCell ref="F1381:G1381"/>
    <mergeCell ref="F1382:G1382"/>
    <mergeCell ref="A1383:C1383"/>
    <mergeCell ref="B1370:G1370"/>
    <mergeCell ref="A1371:G1371"/>
    <mergeCell ref="A1372:G1372"/>
    <mergeCell ref="E1373:G1373"/>
    <mergeCell ref="E1374:G1375"/>
    <mergeCell ref="E1376:G1376"/>
    <mergeCell ref="A1365:G1365"/>
    <mergeCell ref="A1366:B1366"/>
    <mergeCell ref="E1366:G1366"/>
    <mergeCell ref="A1367:B1367"/>
    <mergeCell ref="E1367:G1367"/>
    <mergeCell ref="A1368:C1368"/>
    <mergeCell ref="E1368:G1368"/>
    <mergeCell ref="A1360:B1360"/>
    <mergeCell ref="E1360:G1360"/>
    <mergeCell ref="A1361:C1361"/>
    <mergeCell ref="E1361:G1361"/>
    <mergeCell ref="B1363:G1363"/>
    <mergeCell ref="A1364:G1364"/>
    <mergeCell ref="A1354:C1354"/>
    <mergeCell ref="E1354:G1354"/>
    <mergeCell ref="B1356:G1356"/>
    <mergeCell ref="A1357:G1357"/>
    <mergeCell ref="A1358:G1358"/>
    <mergeCell ref="A1359:B1359"/>
    <mergeCell ref="E1359:G1359"/>
    <mergeCell ref="A1350:G1350"/>
    <mergeCell ref="A1351:G1351"/>
    <mergeCell ref="A1352:B1352"/>
    <mergeCell ref="E1352:G1352"/>
    <mergeCell ref="A1353:B1353"/>
    <mergeCell ref="E1353:G1353"/>
    <mergeCell ref="A1343:G1343"/>
    <mergeCell ref="A1344:G1344"/>
    <mergeCell ref="F1345:G1345"/>
    <mergeCell ref="F1346:G1346"/>
    <mergeCell ref="A1347:C1347"/>
    <mergeCell ref="B1349:G1349"/>
    <mergeCell ref="A1336:G1336"/>
    <mergeCell ref="F1337:G1337"/>
    <mergeCell ref="F1338:G1338"/>
    <mergeCell ref="F1339:G1339"/>
    <mergeCell ref="A1340:C1340"/>
    <mergeCell ref="B1342:G1342"/>
    <mergeCell ref="F1329:G1329"/>
    <mergeCell ref="F1330:G1330"/>
    <mergeCell ref="F1331:G1331"/>
    <mergeCell ref="A1332:C1332"/>
    <mergeCell ref="B1334:G1334"/>
    <mergeCell ref="A1335:G1335"/>
    <mergeCell ref="F1322:G1322"/>
    <mergeCell ref="F1323:G1323"/>
    <mergeCell ref="A1324:C1324"/>
    <mergeCell ref="B1326:G1326"/>
    <mergeCell ref="A1327:G1327"/>
    <mergeCell ref="A1328:G1328"/>
    <mergeCell ref="F1315:G1315"/>
    <mergeCell ref="A1316:C1316"/>
    <mergeCell ref="B1318:G1318"/>
    <mergeCell ref="A1319:G1319"/>
    <mergeCell ref="A1320:G1320"/>
    <mergeCell ref="F1321:G1321"/>
    <mergeCell ref="A1308:C1308"/>
    <mergeCell ref="B1310:G1310"/>
    <mergeCell ref="A1311:G1311"/>
    <mergeCell ref="A1312:G1312"/>
    <mergeCell ref="F1313:G1313"/>
    <mergeCell ref="F1314:G1314"/>
    <mergeCell ref="B1302:G1302"/>
    <mergeCell ref="A1303:G1303"/>
    <mergeCell ref="A1304:G1304"/>
    <mergeCell ref="F1305:G1305"/>
    <mergeCell ref="F1306:G1306"/>
    <mergeCell ref="F1307:G1307"/>
    <mergeCell ref="B1295:G1295"/>
    <mergeCell ref="A1296:G1296"/>
    <mergeCell ref="A1297:G1297"/>
    <mergeCell ref="F1298:G1298"/>
    <mergeCell ref="F1299:G1299"/>
    <mergeCell ref="A1300:C1300"/>
    <mergeCell ref="B1290:C1290"/>
    <mergeCell ref="D1290:G1290"/>
    <mergeCell ref="B1291:C1291"/>
    <mergeCell ref="D1291:G1291"/>
    <mergeCell ref="B1292:C1292"/>
    <mergeCell ref="A1294:G1294"/>
    <mergeCell ref="B1284:C1284"/>
    <mergeCell ref="D1284:G1284"/>
    <mergeCell ref="B1285:C1285"/>
    <mergeCell ref="B1287:G1287"/>
    <mergeCell ref="A1288:G1288"/>
    <mergeCell ref="A1289:G1289"/>
    <mergeCell ref="A1278:C1278"/>
    <mergeCell ref="E1278:G1278"/>
    <mergeCell ref="B1280:G1280"/>
    <mergeCell ref="A1281:G1281"/>
    <mergeCell ref="A1282:G1282"/>
    <mergeCell ref="B1283:C1283"/>
    <mergeCell ref="D1283:G1283"/>
    <mergeCell ref="A1272:G1272"/>
    <mergeCell ref="B1273:G1273"/>
    <mergeCell ref="A1274:G1274"/>
    <mergeCell ref="A1275:G1275"/>
    <mergeCell ref="E1276:G1276"/>
    <mergeCell ref="E1277:G1277"/>
    <mergeCell ref="B1266:G1266"/>
    <mergeCell ref="A1267:G1267"/>
    <mergeCell ref="A1268:G1268"/>
    <mergeCell ref="E1269:G1269"/>
    <mergeCell ref="E1270:G1270"/>
    <mergeCell ref="A1271:C1271"/>
    <mergeCell ref="E1271:G1271"/>
    <mergeCell ref="B1259:G1259"/>
    <mergeCell ref="A1260:G1260"/>
    <mergeCell ref="A1261:G1261"/>
    <mergeCell ref="E1262:G1262"/>
    <mergeCell ref="E1263:G1263"/>
    <mergeCell ref="A1264:C1264"/>
    <mergeCell ref="E1264:G1264"/>
    <mergeCell ref="A1254:G1254"/>
    <mergeCell ref="A1255:B1255"/>
    <mergeCell ref="E1255:G1255"/>
    <mergeCell ref="A1256:B1256"/>
    <mergeCell ref="E1256:G1256"/>
    <mergeCell ref="A1257:C1257"/>
    <mergeCell ref="E1257:G1257"/>
    <mergeCell ref="A1249:B1249"/>
    <mergeCell ref="E1249:G1249"/>
    <mergeCell ref="A1250:C1250"/>
    <mergeCell ref="E1250:G1250"/>
    <mergeCell ref="B1252:G1252"/>
    <mergeCell ref="A1253:G1253"/>
    <mergeCell ref="A1243:C1243"/>
    <mergeCell ref="E1243:G1243"/>
    <mergeCell ref="B1245:G1245"/>
    <mergeCell ref="A1246:G1246"/>
    <mergeCell ref="A1247:G1247"/>
    <mergeCell ref="A1248:B1248"/>
    <mergeCell ref="E1248:G1248"/>
    <mergeCell ref="A1239:G1239"/>
    <mergeCell ref="A1240:G1240"/>
    <mergeCell ref="A1241:B1241"/>
    <mergeCell ref="E1241:G1241"/>
    <mergeCell ref="A1242:B1242"/>
    <mergeCell ref="E1242:G1242"/>
    <mergeCell ref="B1229:G1229"/>
    <mergeCell ref="B1231:G1231"/>
    <mergeCell ref="B1233:G1233"/>
    <mergeCell ref="B1235:G1235"/>
    <mergeCell ref="B1237:G1237"/>
    <mergeCell ref="B1238:G1238"/>
    <mergeCell ref="A1220:G1220"/>
    <mergeCell ref="E1221:G1221"/>
    <mergeCell ref="C1222:G1222"/>
    <mergeCell ref="C1223:G1223"/>
    <mergeCell ref="B1225:G1225"/>
    <mergeCell ref="B1227:G1227"/>
    <mergeCell ref="C1210:F1210"/>
    <mergeCell ref="C1211:G1214"/>
    <mergeCell ref="C1215:G1215"/>
    <mergeCell ref="B1217:G1217"/>
    <mergeCell ref="B1218:G1218"/>
    <mergeCell ref="A1219:G1219"/>
    <mergeCell ref="A1196:G1196"/>
    <mergeCell ref="C1197:F1197"/>
    <mergeCell ref="C1205:G1205"/>
    <mergeCell ref="B1207:G1207"/>
    <mergeCell ref="A1208:G1208"/>
    <mergeCell ref="A1209:G1209"/>
    <mergeCell ref="A1181:G1181"/>
    <mergeCell ref="A1182:G1182"/>
    <mergeCell ref="C1183:F1183"/>
    <mergeCell ref="C1192:G1192"/>
    <mergeCell ref="B1194:G1194"/>
    <mergeCell ref="A1195:G1195"/>
    <mergeCell ref="B1167:G1167"/>
    <mergeCell ref="A1168:G1168"/>
    <mergeCell ref="A1169:G1169"/>
    <mergeCell ref="C1170:F1170"/>
    <mergeCell ref="C1178:G1178"/>
    <mergeCell ref="B1180:G1180"/>
    <mergeCell ref="B1159:G1159"/>
    <mergeCell ref="A1160:G1160"/>
    <mergeCell ref="A1161:G1161"/>
    <mergeCell ref="C1162:G1162"/>
    <mergeCell ref="C1163:G1164"/>
    <mergeCell ref="C1165:G1165"/>
    <mergeCell ref="B1151:G1151"/>
    <mergeCell ref="A1152:G1152"/>
    <mergeCell ref="A1153:G1153"/>
    <mergeCell ref="C1154:F1154"/>
    <mergeCell ref="C1155:G1156"/>
    <mergeCell ref="C1157:G1157"/>
    <mergeCell ref="B1143:G1143"/>
    <mergeCell ref="A1144:G1144"/>
    <mergeCell ref="A1145:G1145"/>
    <mergeCell ref="C1146:E1146"/>
    <mergeCell ref="C1147:G1148"/>
    <mergeCell ref="C1149:G1149"/>
    <mergeCell ref="A1136:G1136"/>
    <mergeCell ref="A1137:G1137"/>
    <mergeCell ref="C1138:G1138"/>
    <mergeCell ref="C1139:G1139"/>
    <mergeCell ref="C1140:G1140"/>
    <mergeCell ref="B1142:G1142"/>
    <mergeCell ref="B1127:G1127"/>
    <mergeCell ref="A1128:G1128"/>
    <mergeCell ref="A1129:G1129"/>
    <mergeCell ref="C1130:G1130"/>
    <mergeCell ref="C1133:G1133"/>
    <mergeCell ref="B1135:G1135"/>
    <mergeCell ref="C1117:G1117"/>
    <mergeCell ref="B1119:G1119"/>
    <mergeCell ref="A1120:G1120"/>
    <mergeCell ref="A1121:G1121"/>
    <mergeCell ref="C1122:G1122"/>
    <mergeCell ref="C1125:G1125"/>
    <mergeCell ref="C1109:G1109"/>
    <mergeCell ref="B1111:G1111"/>
    <mergeCell ref="A1112:G1112"/>
    <mergeCell ref="A1113:G1113"/>
    <mergeCell ref="C1114:G1114"/>
    <mergeCell ref="C1115:G1116"/>
    <mergeCell ref="C1099:G1099"/>
    <mergeCell ref="B1101:G1101"/>
    <mergeCell ref="A1102:G1102"/>
    <mergeCell ref="A1103:G1103"/>
    <mergeCell ref="C1104:G1104"/>
    <mergeCell ref="C1105:G1108"/>
    <mergeCell ref="C1089:G1090"/>
    <mergeCell ref="C1091:G1091"/>
    <mergeCell ref="B1093:G1093"/>
    <mergeCell ref="A1094:G1094"/>
    <mergeCell ref="A1095:G1095"/>
    <mergeCell ref="C1096:G1096"/>
    <mergeCell ref="B1083:G1083"/>
    <mergeCell ref="B1084:G1084"/>
    <mergeCell ref="B1085:G1085"/>
    <mergeCell ref="A1086:G1086"/>
    <mergeCell ref="A1087:G1087"/>
    <mergeCell ref="C1088:G1088"/>
    <mergeCell ref="A1075:G1075"/>
    <mergeCell ref="A1076:B1076"/>
    <mergeCell ref="E1076:G1076"/>
    <mergeCell ref="A1077:B1077"/>
    <mergeCell ref="E1077:G1081"/>
    <mergeCell ref="A1078:B1078"/>
    <mergeCell ref="A1079:B1079"/>
    <mergeCell ref="A1080:B1080"/>
    <mergeCell ref="A1069:B1069"/>
    <mergeCell ref="E1069:G1069"/>
    <mergeCell ref="A1070:B1070"/>
    <mergeCell ref="E1070:G1071"/>
    <mergeCell ref="B1073:G1073"/>
    <mergeCell ref="A1074:G1074"/>
    <mergeCell ref="A1062:B1062"/>
    <mergeCell ref="E1062:G1064"/>
    <mergeCell ref="A1063:B1063"/>
    <mergeCell ref="B1066:G1066"/>
    <mergeCell ref="A1067:G1067"/>
    <mergeCell ref="A1068:G1068"/>
    <mergeCell ref="A1056:F1056"/>
    <mergeCell ref="B1058:G1058"/>
    <mergeCell ref="A1059:G1059"/>
    <mergeCell ref="A1060:G1060"/>
    <mergeCell ref="A1061:B1061"/>
    <mergeCell ref="E1061:G1061"/>
    <mergeCell ref="A1050:B1055"/>
    <mergeCell ref="C1050:F1050"/>
    <mergeCell ref="C1051:F1051"/>
    <mergeCell ref="C1052:F1052"/>
    <mergeCell ref="C1053:F1053"/>
    <mergeCell ref="C1054:F1054"/>
    <mergeCell ref="C1055:F1055"/>
    <mergeCell ref="A1029:G1029"/>
    <mergeCell ref="A1030:G1030"/>
    <mergeCell ref="A1039:G1039"/>
    <mergeCell ref="A1040:G1040"/>
    <mergeCell ref="A1048:G1048"/>
    <mergeCell ref="A1049:G1049"/>
    <mergeCell ref="C1015:F1015"/>
    <mergeCell ref="A1016:F1016"/>
    <mergeCell ref="B1018:G1018"/>
    <mergeCell ref="A1019:G1019"/>
    <mergeCell ref="A1020:G1020"/>
    <mergeCell ref="A1022:G1022"/>
    <mergeCell ref="A999:G999"/>
    <mergeCell ref="A1000:G1000"/>
    <mergeCell ref="A1008:G1008"/>
    <mergeCell ref="A1009:G1009"/>
    <mergeCell ref="A1010:B1015"/>
    <mergeCell ref="C1010:F1010"/>
    <mergeCell ref="C1011:F1011"/>
    <mergeCell ref="C1012:F1012"/>
    <mergeCell ref="C1013:F1013"/>
    <mergeCell ref="C1014:F1014"/>
    <mergeCell ref="B978:G978"/>
    <mergeCell ref="A979:G979"/>
    <mergeCell ref="A980:G980"/>
    <mergeCell ref="A982:G982"/>
    <mergeCell ref="A989:G989"/>
    <mergeCell ref="A990:G990"/>
    <mergeCell ref="A970:B970"/>
    <mergeCell ref="A971:B971"/>
    <mergeCell ref="A972:B972"/>
    <mergeCell ref="A973:B973"/>
    <mergeCell ref="A974:B974"/>
    <mergeCell ref="A975:B975"/>
    <mergeCell ref="A962:B962"/>
    <mergeCell ref="E962:G962"/>
    <mergeCell ref="A963:B963"/>
    <mergeCell ref="E963:G976"/>
    <mergeCell ref="A964:B964"/>
    <mergeCell ref="A965:B965"/>
    <mergeCell ref="A966:B966"/>
    <mergeCell ref="A967:B967"/>
    <mergeCell ref="A968:B968"/>
    <mergeCell ref="A969:B969"/>
    <mergeCell ref="A954:B954"/>
    <mergeCell ref="A955:B955"/>
    <mergeCell ref="A956:B956"/>
    <mergeCell ref="B959:G959"/>
    <mergeCell ref="A960:G960"/>
    <mergeCell ref="A961:G961"/>
    <mergeCell ref="A948:B948"/>
    <mergeCell ref="A949:B949"/>
    <mergeCell ref="A950:B950"/>
    <mergeCell ref="A951:B951"/>
    <mergeCell ref="A952:B952"/>
    <mergeCell ref="A953:B953"/>
    <mergeCell ref="B940:G940"/>
    <mergeCell ref="A941:G941"/>
    <mergeCell ref="A942:G942"/>
    <mergeCell ref="A943:B943"/>
    <mergeCell ref="E943:G943"/>
    <mergeCell ref="A944:B944"/>
    <mergeCell ref="E944:G957"/>
    <mergeCell ref="A945:B945"/>
    <mergeCell ref="A946:B946"/>
    <mergeCell ref="A947:B947"/>
    <mergeCell ref="A932:B932"/>
    <mergeCell ref="A933:B933"/>
    <mergeCell ref="A934:B934"/>
    <mergeCell ref="A935:B935"/>
    <mergeCell ref="A936:B936"/>
    <mergeCell ref="A937:B937"/>
    <mergeCell ref="A923:B923"/>
    <mergeCell ref="E923:G938"/>
    <mergeCell ref="A924:B924"/>
    <mergeCell ref="A925:B925"/>
    <mergeCell ref="A926:B926"/>
    <mergeCell ref="A927:B927"/>
    <mergeCell ref="A928:B928"/>
    <mergeCell ref="A929:B929"/>
    <mergeCell ref="A930:B930"/>
    <mergeCell ref="A931:B931"/>
    <mergeCell ref="A917:F917"/>
    <mergeCell ref="B919:G919"/>
    <mergeCell ref="A920:G920"/>
    <mergeCell ref="A921:G921"/>
    <mergeCell ref="A922:B922"/>
    <mergeCell ref="E922:G922"/>
    <mergeCell ref="A910:G910"/>
    <mergeCell ref="A911:B916"/>
    <mergeCell ref="C911:F911"/>
    <mergeCell ref="C912:F912"/>
    <mergeCell ref="C913:F913"/>
    <mergeCell ref="C914:F914"/>
    <mergeCell ref="C915:F915"/>
    <mergeCell ref="C916:F916"/>
    <mergeCell ref="A875:G875"/>
    <mergeCell ref="A884:G884"/>
    <mergeCell ref="A885:G885"/>
    <mergeCell ref="A898:G898"/>
    <mergeCell ref="A899:G899"/>
    <mergeCell ref="A909:G909"/>
    <mergeCell ref="C867:F867"/>
    <mergeCell ref="C868:F868"/>
    <mergeCell ref="A869:F869"/>
    <mergeCell ref="B871:G871"/>
    <mergeCell ref="A872:G872"/>
    <mergeCell ref="A873:G873"/>
    <mergeCell ref="A837:G837"/>
    <mergeCell ref="A850:G850"/>
    <mergeCell ref="A851:G851"/>
    <mergeCell ref="A861:G861"/>
    <mergeCell ref="A862:G862"/>
    <mergeCell ref="A863:B868"/>
    <mergeCell ref="C863:F863"/>
    <mergeCell ref="C864:F864"/>
    <mergeCell ref="C865:F865"/>
    <mergeCell ref="C866:F866"/>
    <mergeCell ref="A821:F821"/>
    <mergeCell ref="B823:G823"/>
    <mergeCell ref="A824:G824"/>
    <mergeCell ref="A825:G825"/>
    <mergeCell ref="A827:G827"/>
    <mergeCell ref="A836:G836"/>
    <mergeCell ref="A803:G803"/>
    <mergeCell ref="A813:G813"/>
    <mergeCell ref="A814:G814"/>
    <mergeCell ref="A815:B820"/>
    <mergeCell ref="C815:F815"/>
    <mergeCell ref="C816:F816"/>
    <mergeCell ref="C817:F817"/>
    <mergeCell ref="C818:F818"/>
    <mergeCell ref="C819:F819"/>
    <mergeCell ref="C820:F820"/>
    <mergeCell ref="A776:G776"/>
    <mergeCell ref="A777:G777"/>
    <mergeCell ref="A779:G779"/>
    <mergeCell ref="A788:G788"/>
    <mergeCell ref="A789:G789"/>
    <mergeCell ref="A802:G802"/>
    <mergeCell ref="F767:G767"/>
    <mergeCell ref="F768:G772"/>
    <mergeCell ref="A769:C769"/>
    <mergeCell ref="A772:C772"/>
    <mergeCell ref="B774:G774"/>
    <mergeCell ref="B775:G775"/>
    <mergeCell ref="F761:G761"/>
    <mergeCell ref="A762:E762"/>
    <mergeCell ref="F762:G762"/>
    <mergeCell ref="B764:G764"/>
    <mergeCell ref="A765:G765"/>
    <mergeCell ref="A766:G766"/>
    <mergeCell ref="A755:E755"/>
    <mergeCell ref="F755:G755"/>
    <mergeCell ref="B757:G757"/>
    <mergeCell ref="A758:G758"/>
    <mergeCell ref="A759:G759"/>
    <mergeCell ref="F760:G760"/>
    <mergeCell ref="B749:G749"/>
    <mergeCell ref="B750:G750"/>
    <mergeCell ref="A751:G751"/>
    <mergeCell ref="A752:G752"/>
    <mergeCell ref="F753:G753"/>
    <mergeCell ref="F754:G754"/>
    <mergeCell ref="A738:C738"/>
    <mergeCell ref="B740:G740"/>
    <mergeCell ref="B741:G741"/>
    <mergeCell ref="A742:G742"/>
    <mergeCell ref="A743:G743"/>
    <mergeCell ref="A747:F747"/>
    <mergeCell ref="A733:G733"/>
    <mergeCell ref="A734:B734"/>
    <mergeCell ref="F734:G734"/>
    <mergeCell ref="A735:B737"/>
    <mergeCell ref="C735:C737"/>
    <mergeCell ref="D735:D737"/>
    <mergeCell ref="E735:E737"/>
    <mergeCell ref="F735:G737"/>
    <mergeCell ref="A728:B728"/>
    <mergeCell ref="E728:G728"/>
    <mergeCell ref="A729:C729"/>
    <mergeCell ref="E729:G729"/>
    <mergeCell ref="B731:G731"/>
    <mergeCell ref="A732:G732"/>
    <mergeCell ref="A724:G724"/>
    <mergeCell ref="A725:B725"/>
    <mergeCell ref="E725:G725"/>
    <mergeCell ref="A726:B726"/>
    <mergeCell ref="E726:G726"/>
    <mergeCell ref="A727:B727"/>
    <mergeCell ref="E727:G727"/>
    <mergeCell ref="A719:B719"/>
    <mergeCell ref="E719:G719"/>
    <mergeCell ref="A720:C720"/>
    <mergeCell ref="E720:G720"/>
    <mergeCell ref="B722:G722"/>
    <mergeCell ref="A723:G723"/>
    <mergeCell ref="A715:G715"/>
    <mergeCell ref="A716:B716"/>
    <mergeCell ref="E716:G716"/>
    <mergeCell ref="A717:B717"/>
    <mergeCell ref="E717:G717"/>
    <mergeCell ref="A718:B718"/>
    <mergeCell ref="E718:G718"/>
    <mergeCell ref="A710:B710"/>
    <mergeCell ref="E710:G710"/>
    <mergeCell ref="A711:C711"/>
    <mergeCell ref="E711:G711"/>
    <mergeCell ref="B713:G713"/>
    <mergeCell ref="A714:G714"/>
    <mergeCell ref="A705:G705"/>
    <mergeCell ref="B706:G706"/>
    <mergeCell ref="A707:G707"/>
    <mergeCell ref="A708:G708"/>
    <mergeCell ref="A709:B709"/>
    <mergeCell ref="E709:G709"/>
    <mergeCell ref="A702:B702"/>
    <mergeCell ref="E702:G702"/>
    <mergeCell ref="A703:B703"/>
    <mergeCell ref="E703:G703"/>
    <mergeCell ref="A704:C704"/>
    <mergeCell ref="E704:G704"/>
    <mergeCell ref="A698:G698"/>
    <mergeCell ref="A699:B699"/>
    <mergeCell ref="E699:G699"/>
    <mergeCell ref="A700:B700"/>
    <mergeCell ref="E700:G700"/>
    <mergeCell ref="A701:B701"/>
    <mergeCell ref="E701:G701"/>
    <mergeCell ref="A693:B693"/>
    <mergeCell ref="E693:G693"/>
    <mergeCell ref="A694:C694"/>
    <mergeCell ref="E694:G694"/>
    <mergeCell ref="B696:G696"/>
    <mergeCell ref="A697:G697"/>
    <mergeCell ref="A690:B690"/>
    <mergeCell ref="E690:G690"/>
    <mergeCell ref="A691:B691"/>
    <mergeCell ref="E691:G691"/>
    <mergeCell ref="A692:B692"/>
    <mergeCell ref="E692:G692"/>
    <mergeCell ref="B685:G685"/>
    <mergeCell ref="A686:G686"/>
    <mergeCell ref="A687:G687"/>
    <mergeCell ref="A688:B688"/>
    <mergeCell ref="E688:G688"/>
    <mergeCell ref="A689:B689"/>
    <mergeCell ref="E689:G689"/>
    <mergeCell ref="A677:B677"/>
    <mergeCell ref="A678:B678"/>
    <mergeCell ref="A679:B679"/>
    <mergeCell ref="A680:B680"/>
    <mergeCell ref="A681:B681"/>
    <mergeCell ref="B684:G684"/>
    <mergeCell ref="A669:B669"/>
    <mergeCell ref="E669:G669"/>
    <mergeCell ref="A670:B670"/>
    <mergeCell ref="E670:G682"/>
    <mergeCell ref="A671:B671"/>
    <mergeCell ref="A672:B672"/>
    <mergeCell ref="A673:B673"/>
    <mergeCell ref="A674:B674"/>
    <mergeCell ref="A675:B675"/>
    <mergeCell ref="A676:B676"/>
    <mergeCell ref="A661:B661"/>
    <mergeCell ref="A662:B662"/>
    <mergeCell ref="A663:B663"/>
    <mergeCell ref="B666:G666"/>
    <mergeCell ref="A667:G667"/>
    <mergeCell ref="A668:G668"/>
    <mergeCell ref="A652:B652"/>
    <mergeCell ref="E652:G664"/>
    <mergeCell ref="A653:B653"/>
    <mergeCell ref="A654:B654"/>
    <mergeCell ref="A655:B655"/>
    <mergeCell ref="A656:B656"/>
    <mergeCell ref="A657:B657"/>
    <mergeCell ref="A658:B658"/>
    <mergeCell ref="A659:B659"/>
    <mergeCell ref="A660:B660"/>
    <mergeCell ref="A646:F646"/>
    <mergeCell ref="B648:G648"/>
    <mergeCell ref="A649:G649"/>
    <mergeCell ref="A650:G650"/>
    <mergeCell ref="A651:B651"/>
    <mergeCell ref="E651:G651"/>
    <mergeCell ref="A639:G639"/>
    <mergeCell ref="A640:B645"/>
    <mergeCell ref="C640:F640"/>
    <mergeCell ref="C641:F641"/>
    <mergeCell ref="C642:F642"/>
    <mergeCell ref="C643:F643"/>
    <mergeCell ref="C644:F644"/>
    <mergeCell ref="C645:F645"/>
    <mergeCell ref="A626:G626"/>
    <mergeCell ref="A629:G629"/>
    <mergeCell ref="A630:G630"/>
    <mergeCell ref="A633:G633"/>
    <mergeCell ref="A634:G634"/>
    <mergeCell ref="A638:G638"/>
    <mergeCell ref="C618:F618"/>
    <mergeCell ref="C619:F619"/>
    <mergeCell ref="A620:F620"/>
    <mergeCell ref="B622:G622"/>
    <mergeCell ref="A623:G623"/>
    <mergeCell ref="A624:G624"/>
    <mergeCell ref="A594:G594"/>
    <mergeCell ref="A603:G603"/>
    <mergeCell ref="A604:G604"/>
    <mergeCell ref="A612:G612"/>
    <mergeCell ref="A613:G613"/>
    <mergeCell ref="A614:B619"/>
    <mergeCell ref="C614:F614"/>
    <mergeCell ref="C615:F615"/>
    <mergeCell ref="C616:F616"/>
    <mergeCell ref="C617:F617"/>
    <mergeCell ref="A580:F580"/>
    <mergeCell ref="B582:G582"/>
    <mergeCell ref="A583:G583"/>
    <mergeCell ref="A584:G584"/>
    <mergeCell ref="A586:G586"/>
    <mergeCell ref="A593:G593"/>
    <mergeCell ref="A573:G573"/>
    <mergeCell ref="A574:B579"/>
    <mergeCell ref="C574:F574"/>
    <mergeCell ref="C575:F575"/>
    <mergeCell ref="C576:F576"/>
    <mergeCell ref="C577:F577"/>
    <mergeCell ref="C578:F578"/>
    <mergeCell ref="C579:F579"/>
    <mergeCell ref="A560:G560"/>
    <mergeCell ref="A563:G563"/>
    <mergeCell ref="A564:G564"/>
    <mergeCell ref="A567:G567"/>
    <mergeCell ref="A568:G568"/>
    <mergeCell ref="A572:G572"/>
    <mergeCell ref="C552:F552"/>
    <mergeCell ref="C553:F553"/>
    <mergeCell ref="A554:F554"/>
    <mergeCell ref="B556:G556"/>
    <mergeCell ref="A557:G557"/>
    <mergeCell ref="A558:G558"/>
    <mergeCell ref="A524:G524"/>
    <mergeCell ref="A535:G535"/>
    <mergeCell ref="A536:G536"/>
    <mergeCell ref="A546:G546"/>
    <mergeCell ref="A547:G547"/>
    <mergeCell ref="A548:B553"/>
    <mergeCell ref="C548:F548"/>
    <mergeCell ref="C549:F549"/>
    <mergeCell ref="C550:F550"/>
    <mergeCell ref="C551:F551"/>
    <mergeCell ref="A508:F508"/>
    <mergeCell ref="B510:G510"/>
    <mergeCell ref="A511:G511"/>
    <mergeCell ref="A512:G512"/>
    <mergeCell ref="A514:G514"/>
    <mergeCell ref="A523:G523"/>
    <mergeCell ref="A497:G497"/>
    <mergeCell ref="A502:G502"/>
    <mergeCell ref="A503:G503"/>
    <mergeCell ref="A504:B507"/>
    <mergeCell ref="C504:F504"/>
    <mergeCell ref="C505:F505"/>
    <mergeCell ref="C506:F506"/>
    <mergeCell ref="C507:F507"/>
    <mergeCell ref="A480:F480"/>
    <mergeCell ref="B482:G482"/>
    <mergeCell ref="A483:G483"/>
    <mergeCell ref="A484:G484"/>
    <mergeCell ref="A486:G486"/>
    <mergeCell ref="A496:G496"/>
    <mergeCell ref="A469:G469"/>
    <mergeCell ref="A474:G474"/>
    <mergeCell ref="A475:G475"/>
    <mergeCell ref="A476:B479"/>
    <mergeCell ref="C476:F476"/>
    <mergeCell ref="C477:F477"/>
    <mergeCell ref="C478:F478"/>
    <mergeCell ref="C479:F479"/>
    <mergeCell ref="A452:F452"/>
    <mergeCell ref="B454:G454"/>
    <mergeCell ref="A455:G455"/>
    <mergeCell ref="A456:G456"/>
    <mergeCell ref="A458:G458"/>
    <mergeCell ref="A468:G468"/>
    <mergeCell ref="A446:B451"/>
    <mergeCell ref="C446:F446"/>
    <mergeCell ref="C447:F447"/>
    <mergeCell ref="C448:F448"/>
    <mergeCell ref="C449:F449"/>
    <mergeCell ref="C450:F450"/>
    <mergeCell ref="C451:F451"/>
    <mergeCell ref="A419:G419"/>
    <mergeCell ref="A420:G420"/>
    <mergeCell ref="A433:G433"/>
    <mergeCell ref="A434:G434"/>
    <mergeCell ref="A444:G444"/>
    <mergeCell ref="A445:G445"/>
    <mergeCell ref="A404:F404"/>
    <mergeCell ref="A405:G405"/>
    <mergeCell ref="B406:G406"/>
    <mergeCell ref="A407:G407"/>
    <mergeCell ref="A408:G408"/>
    <mergeCell ref="A410:G410"/>
    <mergeCell ref="A397:G397"/>
    <mergeCell ref="A398:B403"/>
    <mergeCell ref="C398:F398"/>
    <mergeCell ref="C399:F399"/>
    <mergeCell ref="C400:F400"/>
    <mergeCell ref="C401:F401"/>
    <mergeCell ref="C402:F402"/>
    <mergeCell ref="C403:F403"/>
    <mergeCell ref="A362:G362"/>
    <mergeCell ref="A371:G371"/>
    <mergeCell ref="A372:G372"/>
    <mergeCell ref="A385:G385"/>
    <mergeCell ref="A386:G386"/>
    <mergeCell ref="A396:G396"/>
    <mergeCell ref="B345:G345"/>
    <mergeCell ref="B346:G346"/>
    <mergeCell ref="A347:G347"/>
    <mergeCell ref="A348:G348"/>
    <mergeCell ref="A349:G349"/>
    <mergeCell ref="E360:F360"/>
    <mergeCell ref="B336:G336"/>
    <mergeCell ref="A337:G337"/>
    <mergeCell ref="A338:G338"/>
    <mergeCell ref="F339:G339"/>
    <mergeCell ref="F340:G342"/>
    <mergeCell ref="A343:D343"/>
    <mergeCell ref="A328:D328"/>
    <mergeCell ref="B330:G330"/>
    <mergeCell ref="A331:G331"/>
    <mergeCell ref="A332:G332"/>
    <mergeCell ref="E333:G333"/>
    <mergeCell ref="E334:G334"/>
    <mergeCell ref="A318:F318"/>
    <mergeCell ref="B320:G320"/>
    <mergeCell ref="A321:G321"/>
    <mergeCell ref="A322:G322"/>
    <mergeCell ref="F323:G323"/>
    <mergeCell ref="F324:G327"/>
    <mergeCell ref="A311:F311"/>
    <mergeCell ref="B313:G313"/>
    <mergeCell ref="A314:G314"/>
    <mergeCell ref="A315:G315"/>
    <mergeCell ref="F316:G316"/>
    <mergeCell ref="F317:G317"/>
    <mergeCell ref="A304:F304"/>
    <mergeCell ref="B306:G306"/>
    <mergeCell ref="A307:G307"/>
    <mergeCell ref="A308:G308"/>
    <mergeCell ref="F309:G309"/>
    <mergeCell ref="F310:G310"/>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276:F276"/>
    <mergeCell ref="B278:G278"/>
    <mergeCell ref="A279:G279"/>
    <mergeCell ref="A280:G280"/>
    <mergeCell ref="F281:G281"/>
    <mergeCell ref="F282:G282"/>
    <mergeCell ref="A270:G270"/>
    <mergeCell ref="B271:G271"/>
    <mergeCell ref="A272:G272"/>
    <mergeCell ref="A273:G273"/>
    <mergeCell ref="F274:G274"/>
    <mergeCell ref="F275:G275"/>
    <mergeCell ref="B264:G264"/>
    <mergeCell ref="A265:G265"/>
    <mergeCell ref="A266:G266"/>
    <mergeCell ref="F267:G267"/>
    <mergeCell ref="F268:G268"/>
    <mergeCell ref="A269:F269"/>
    <mergeCell ref="A258:G258"/>
    <mergeCell ref="A259:G259"/>
    <mergeCell ref="F260:G260"/>
    <mergeCell ref="F261:G261"/>
    <mergeCell ref="A262:F262"/>
    <mergeCell ref="A263:G263"/>
    <mergeCell ref="A252:G252"/>
    <mergeCell ref="F253:G253"/>
    <mergeCell ref="F254:G254"/>
    <mergeCell ref="A255:F255"/>
    <mergeCell ref="A256:G256"/>
    <mergeCell ref="B257:G257"/>
    <mergeCell ref="A245:G245"/>
    <mergeCell ref="F246:G246"/>
    <mergeCell ref="F247:G247"/>
    <mergeCell ref="A248:F248"/>
    <mergeCell ref="B250:G250"/>
    <mergeCell ref="A251:G251"/>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F218:G218"/>
    <mergeCell ref="F219:G219"/>
    <mergeCell ref="A220:D220"/>
    <mergeCell ref="E220:F220"/>
    <mergeCell ref="B222:G222"/>
    <mergeCell ref="A223:G223"/>
    <mergeCell ref="A195:B195"/>
    <mergeCell ref="E195:G196"/>
    <mergeCell ref="B198:G198"/>
    <mergeCell ref="B215:G215"/>
    <mergeCell ref="A216:G216"/>
    <mergeCell ref="A217:G217"/>
    <mergeCell ref="A189:G189"/>
    <mergeCell ref="B191:G191"/>
    <mergeCell ref="A192:G192"/>
    <mergeCell ref="A193:G193"/>
    <mergeCell ref="A194:B194"/>
    <mergeCell ref="E194:G194"/>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A169:G169"/>
    <mergeCell ref="E170:G170"/>
    <mergeCell ref="E172:G174"/>
    <mergeCell ref="A175:B175"/>
    <mergeCell ref="E175:G175"/>
    <mergeCell ref="B177:G177"/>
    <mergeCell ref="E157:G157"/>
    <mergeCell ref="E158:G163"/>
    <mergeCell ref="A165:B165"/>
    <mergeCell ref="E165:G165"/>
    <mergeCell ref="B167:G167"/>
    <mergeCell ref="A168:G168"/>
    <mergeCell ref="A152:B152"/>
    <mergeCell ref="E152:G152"/>
    <mergeCell ref="B154:G154"/>
    <mergeCell ref="A155:G155"/>
    <mergeCell ref="A156:G156"/>
    <mergeCell ref="A142:B142"/>
    <mergeCell ref="E142:G142"/>
    <mergeCell ref="B144:G144"/>
    <mergeCell ref="A145:G145"/>
    <mergeCell ref="A146:G146"/>
    <mergeCell ref="E147:G147"/>
    <mergeCell ref="A138:A141"/>
    <mergeCell ref="B138:B141"/>
    <mergeCell ref="C138:C141"/>
    <mergeCell ref="D138:D141"/>
    <mergeCell ref="C131:F131"/>
    <mergeCell ref="A132:B132"/>
    <mergeCell ref="C132:F132"/>
    <mergeCell ref="B134:G134"/>
    <mergeCell ref="A135:G135"/>
    <mergeCell ref="A136:G136"/>
    <mergeCell ref="A123:B123"/>
    <mergeCell ref="C123:G123"/>
    <mergeCell ref="A124:B131"/>
    <mergeCell ref="C124:F124"/>
    <mergeCell ref="C125:F125"/>
    <mergeCell ref="C126:F126"/>
    <mergeCell ref="C127:F127"/>
    <mergeCell ref="C128:F128"/>
    <mergeCell ref="C129:F129"/>
    <mergeCell ref="C130:F130"/>
    <mergeCell ref="A97:G97"/>
    <mergeCell ref="A108:G108"/>
    <mergeCell ref="A112:G112"/>
    <mergeCell ref="A118:G118"/>
    <mergeCell ref="B75:G75"/>
    <mergeCell ref="B77:G77"/>
    <mergeCell ref="B79:G79"/>
    <mergeCell ref="B81:G81"/>
    <mergeCell ref="B82:G82"/>
    <mergeCell ref="A83:G83"/>
    <mergeCell ref="E68:F68"/>
    <mergeCell ref="B69:C69"/>
    <mergeCell ref="E69:G69"/>
    <mergeCell ref="B70:C70"/>
    <mergeCell ref="E70:G70"/>
    <mergeCell ref="B73:G73"/>
    <mergeCell ref="E137:G137"/>
    <mergeCell ref="B56:G56"/>
    <mergeCell ref="A57:G57"/>
    <mergeCell ref="A58:G58"/>
    <mergeCell ref="A47:G47"/>
    <mergeCell ref="A48:G48"/>
    <mergeCell ref="B49:C49"/>
    <mergeCell ref="E49:G49"/>
    <mergeCell ref="B50:C50"/>
    <mergeCell ref="E50:G50"/>
    <mergeCell ref="A39:G39"/>
    <mergeCell ref="A40:G40"/>
    <mergeCell ref="B42:G42"/>
    <mergeCell ref="A43:G43"/>
    <mergeCell ref="A44:G44"/>
    <mergeCell ref="B46:G46"/>
    <mergeCell ref="E94:F94"/>
    <mergeCell ref="A95:G95"/>
    <mergeCell ref="B38:G38"/>
    <mergeCell ref="E25:G25"/>
    <mergeCell ref="A26:C26"/>
    <mergeCell ref="B28:G28"/>
    <mergeCell ref="A29:G29"/>
    <mergeCell ref="A30:G30"/>
    <mergeCell ref="B31:C31"/>
    <mergeCell ref="E31:G31"/>
    <mergeCell ref="A19:B19"/>
    <mergeCell ref="D19:G19"/>
    <mergeCell ref="B21:G21"/>
    <mergeCell ref="A22:G22"/>
    <mergeCell ref="A23:G23"/>
    <mergeCell ref="E24:G24"/>
    <mergeCell ref="B52:G52"/>
    <mergeCell ref="A53:G53"/>
    <mergeCell ref="A54:G54"/>
    <mergeCell ref="B10:G10"/>
    <mergeCell ref="B12:G12"/>
    <mergeCell ref="B14:G14"/>
    <mergeCell ref="A15:G15"/>
    <mergeCell ref="A16:G16"/>
    <mergeCell ref="A17:B18"/>
    <mergeCell ref="D17:G17"/>
    <mergeCell ref="D18:G18"/>
    <mergeCell ref="A1:G1"/>
    <mergeCell ref="A2:G2"/>
    <mergeCell ref="A3:G3"/>
    <mergeCell ref="B5:F5"/>
    <mergeCell ref="B6:E6"/>
    <mergeCell ref="A9:G9"/>
    <mergeCell ref="B32:C32"/>
    <mergeCell ref="E32:G35"/>
    <mergeCell ref="B33:C33"/>
    <mergeCell ref="B34:C34"/>
    <mergeCell ref="B35:C35"/>
  </mergeCells>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workbookViewId="0">
      <selection activeCell="B7" sqref="B7"/>
    </sheetView>
  </sheetViews>
  <sheetFormatPr defaultRowHeight="15"/>
  <cols>
    <col min="1" max="1" width="116" customWidth="1"/>
    <col min="2" max="2" width="10.42578125" customWidth="1"/>
  </cols>
  <sheetData>
    <row r="1" spans="1:3" ht="27" thickBot="1">
      <c r="A1" s="2351" t="s">
        <v>2194</v>
      </c>
      <c r="B1" s="2352"/>
      <c r="C1" s="2353"/>
    </row>
    <row r="2" spans="1:3" ht="14.25" customHeight="1" thickBot="1">
      <c r="A2" s="2349" t="s">
        <v>721</v>
      </c>
      <c r="B2" s="2350"/>
      <c r="C2" s="684" t="s">
        <v>203</v>
      </c>
    </row>
    <row r="3" spans="1:3">
      <c r="A3" s="1540" t="s">
        <v>1287</v>
      </c>
      <c r="B3" s="685">
        <v>76.650000000000006</v>
      </c>
      <c r="C3" s="686" t="s">
        <v>728</v>
      </c>
    </row>
    <row r="4" spans="1:3">
      <c r="A4" s="1540" t="s">
        <v>1288</v>
      </c>
      <c r="B4" s="685">
        <f>191.6*2.08</f>
        <v>398.52800000000002</v>
      </c>
      <c r="C4" s="883" t="s">
        <v>728</v>
      </c>
    </row>
    <row r="5" spans="1:3" ht="30">
      <c r="A5" s="687" t="s">
        <v>724</v>
      </c>
      <c r="B5" s="1541">
        <f>(B23/0.15)*0.55</f>
        <v>25.410000000000004</v>
      </c>
      <c r="C5" s="688" t="s">
        <v>723</v>
      </c>
    </row>
    <row r="6" spans="1:3">
      <c r="A6" s="1540" t="s">
        <v>725</v>
      </c>
      <c r="B6" s="685">
        <f>B5-B23</f>
        <v>18.480000000000004</v>
      </c>
      <c r="C6" s="688" t="s">
        <v>723</v>
      </c>
    </row>
    <row r="7" spans="1:3">
      <c r="A7" s="1540" t="s">
        <v>726</v>
      </c>
      <c r="B7" s="685">
        <f>B12+B17+B23</f>
        <v>19.950000000000003</v>
      </c>
      <c r="C7" s="688" t="s">
        <v>723</v>
      </c>
    </row>
    <row r="8" spans="1:3" ht="30">
      <c r="A8" s="687" t="s">
        <v>729</v>
      </c>
      <c r="B8" s="1541">
        <f>B5/0.5</f>
        <v>50.820000000000007</v>
      </c>
      <c r="C8" s="688" t="s">
        <v>728</v>
      </c>
    </row>
    <row r="9" spans="1:3" ht="15.75" thickBot="1">
      <c r="A9" s="1542" t="s">
        <v>730</v>
      </c>
      <c r="B9" s="689">
        <f>191.6*(0.3+0.15+0.3)</f>
        <v>143.69999999999999</v>
      </c>
      <c r="C9" s="690" t="s">
        <v>728</v>
      </c>
    </row>
    <row r="10" spans="1:3" ht="14.25" customHeight="1" thickBot="1">
      <c r="A10" s="2349" t="s">
        <v>1289</v>
      </c>
      <c r="B10" s="2350"/>
      <c r="C10" s="691" t="s">
        <v>203</v>
      </c>
    </row>
    <row r="11" spans="1:3">
      <c r="A11" s="1543" t="s">
        <v>740</v>
      </c>
      <c r="B11" s="685">
        <v>113.19</v>
      </c>
      <c r="C11" s="686" t="s">
        <v>728</v>
      </c>
    </row>
    <row r="12" spans="1:3">
      <c r="A12" s="692" t="s">
        <v>733</v>
      </c>
      <c r="B12" s="1541">
        <v>9.6300000000000008</v>
      </c>
      <c r="C12" s="688" t="s">
        <v>723</v>
      </c>
    </row>
    <row r="13" spans="1:3">
      <c r="A13" s="692" t="s">
        <v>734</v>
      </c>
      <c r="B13" s="1541">
        <f>B12</f>
        <v>9.6300000000000008</v>
      </c>
      <c r="C13" s="688" t="s">
        <v>723</v>
      </c>
    </row>
    <row r="14" spans="1:3" ht="15.75" thickBot="1">
      <c r="A14" s="692" t="s">
        <v>735</v>
      </c>
      <c r="B14" s="1541">
        <v>158.02000000000001</v>
      </c>
      <c r="C14" s="688" t="s">
        <v>736</v>
      </c>
    </row>
    <row r="15" spans="1:3" ht="14.25" customHeight="1" thickBot="1">
      <c r="A15" s="2349" t="s">
        <v>1290</v>
      </c>
      <c r="B15" s="2350"/>
      <c r="C15" s="691" t="s">
        <v>203</v>
      </c>
    </row>
    <row r="16" spans="1:3">
      <c r="A16" s="1543" t="s">
        <v>1291</v>
      </c>
      <c r="B16" s="685">
        <f>1.4*77</f>
        <v>107.8</v>
      </c>
      <c r="C16" s="686" t="s">
        <v>157</v>
      </c>
    </row>
    <row r="17" spans="1:3">
      <c r="A17" s="692" t="s">
        <v>733</v>
      </c>
      <c r="B17" s="1541">
        <v>3.39</v>
      </c>
      <c r="C17" s="688" t="s">
        <v>723</v>
      </c>
    </row>
    <row r="18" spans="1:3">
      <c r="A18" s="692" t="s">
        <v>734</v>
      </c>
      <c r="B18" s="1541">
        <f>B17</f>
        <v>3.39</v>
      </c>
      <c r="C18" s="688" t="s">
        <v>723</v>
      </c>
    </row>
    <row r="19" spans="1:3">
      <c r="A19" s="692" t="s">
        <v>735</v>
      </c>
      <c r="B19" s="1541">
        <v>81.78</v>
      </c>
      <c r="C19" s="688" t="s">
        <v>736</v>
      </c>
    </row>
    <row r="20" spans="1:3" ht="15.75" thickBot="1">
      <c r="A20" s="692" t="s">
        <v>737</v>
      </c>
      <c r="B20" s="1541">
        <v>405.5</v>
      </c>
      <c r="C20" s="688" t="s">
        <v>736</v>
      </c>
    </row>
    <row r="21" spans="1:3" ht="15" customHeight="1" thickBot="1">
      <c r="A21" s="2349" t="s">
        <v>218</v>
      </c>
      <c r="B21" s="2350"/>
      <c r="C21" s="691" t="s">
        <v>203</v>
      </c>
    </row>
    <row r="22" spans="1:3">
      <c r="A22" s="1544" t="s">
        <v>740</v>
      </c>
      <c r="B22" s="685">
        <v>115.5</v>
      </c>
      <c r="C22" s="686" t="s">
        <v>728</v>
      </c>
    </row>
    <row r="23" spans="1:3">
      <c r="A23" s="1545" t="s">
        <v>733</v>
      </c>
      <c r="B23" s="1541">
        <v>6.93</v>
      </c>
      <c r="C23" s="688" t="s">
        <v>723</v>
      </c>
    </row>
    <row r="24" spans="1:3">
      <c r="A24" s="1545" t="s">
        <v>734</v>
      </c>
      <c r="B24" s="1541">
        <f>B23</f>
        <v>6.93</v>
      </c>
      <c r="C24" s="688" t="s">
        <v>723</v>
      </c>
    </row>
    <row r="25" spans="1:3">
      <c r="A25" s="1545" t="s">
        <v>735</v>
      </c>
      <c r="B25" s="1541">
        <v>238.7</v>
      </c>
      <c r="C25" s="688" t="s">
        <v>736</v>
      </c>
    </row>
    <row r="26" spans="1:3" ht="15.75" thickBot="1">
      <c r="A26" s="1545" t="s">
        <v>737</v>
      </c>
      <c r="B26" s="1541">
        <v>477.4</v>
      </c>
      <c r="C26" s="688" t="s">
        <v>736</v>
      </c>
    </row>
    <row r="27" spans="1:3" ht="15" customHeight="1" thickBot="1">
      <c r="A27" s="2349" t="s">
        <v>230</v>
      </c>
      <c r="B27" s="2350"/>
      <c r="C27" s="695" t="s">
        <v>203</v>
      </c>
    </row>
    <row r="28" spans="1:3">
      <c r="A28" s="1544" t="s">
        <v>740</v>
      </c>
      <c r="B28" s="696">
        <v>173.25</v>
      </c>
      <c r="C28" s="686" t="s">
        <v>728</v>
      </c>
    </row>
    <row r="29" spans="1:3">
      <c r="A29" s="1545" t="s">
        <v>733</v>
      </c>
      <c r="B29" s="697">
        <v>9.24</v>
      </c>
      <c r="C29" s="688" t="s">
        <v>723</v>
      </c>
    </row>
    <row r="30" spans="1:3">
      <c r="A30" s="1545" t="s">
        <v>734</v>
      </c>
      <c r="B30" s="697">
        <f>B29</f>
        <v>9.24</v>
      </c>
      <c r="C30" s="688" t="s">
        <v>723</v>
      </c>
    </row>
    <row r="31" spans="1:3">
      <c r="A31" s="1545" t="s">
        <v>735</v>
      </c>
      <c r="B31" s="1541">
        <v>200.2</v>
      </c>
      <c r="C31" s="688" t="s">
        <v>736</v>
      </c>
    </row>
    <row r="32" spans="1:3" ht="15.75" thickBot="1">
      <c r="A32" s="1545" t="s">
        <v>737</v>
      </c>
      <c r="B32" s="1541">
        <v>469.7</v>
      </c>
      <c r="C32" s="693" t="s">
        <v>736</v>
      </c>
    </row>
    <row r="33" spans="1:6" ht="44.25" customHeight="1" thickBot="1">
      <c r="A33" s="1127" t="s">
        <v>1682</v>
      </c>
      <c r="B33" s="2107" t="s">
        <v>1680</v>
      </c>
      <c r="C33" s="2331"/>
      <c r="D33" s="407"/>
      <c r="E33" s="407"/>
      <c r="F33" s="407"/>
    </row>
    <row r="35" spans="1:6" ht="15.75" customHeight="1">
      <c r="A35" s="299"/>
      <c r="B35" s="299"/>
    </row>
  </sheetData>
  <mergeCells count="7">
    <mergeCell ref="B33:C33"/>
    <mergeCell ref="A27:B27"/>
    <mergeCell ref="A1:C1"/>
    <mergeCell ref="A2:B2"/>
    <mergeCell ref="A10:B10"/>
    <mergeCell ref="A15:B15"/>
    <mergeCell ref="A21:B21"/>
  </mergeCells>
  <printOptions horizontalCentered="1"/>
  <pageMargins left="0.51181102362204722" right="0.51181102362204722" top="0.78740157480314965" bottom="0.78740157480314965" header="0.31496062992125984" footer="0.31496062992125984"/>
  <pageSetup paperSize="9"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
  <sheetViews>
    <sheetView topLeftCell="A16" workbookViewId="0">
      <selection activeCell="G39" sqref="G39"/>
    </sheetView>
  </sheetViews>
  <sheetFormatPr defaultRowHeight="15"/>
  <cols>
    <col min="1" max="1" width="34.42578125" customWidth="1"/>
    <col min="3" max="3" width="48.5703125" bestFit="1" customWidth="1"/>
    <col min="4" max="4" width="57.5703125" customWidth="1"/>
    <col min="5" max="5" width="5.28515625" customWidth="1"/>
    <col min="6" max="6" width="8.5703125" bestFit="1" customWidth="1"/>
    <col min="8" max="8" width="12.5703125" customWidth="1"/>
  </cols>
  <sheetData>
    <row r="1" spans="1:6">
      <c r="A1" s="1177" t="s">
        <v>1</v>
      </c>
      <c r="B1" s="1178" t="s">
        <v>1405</v>
      </c>
      <c r="C1" s="1179"/>
      <c r="D1" s="1178"/>
      <c r="E1" s="1178"/>
      <c r="F1" s="1180"/>
    </row>
    <row r="2" spans="1:6">
      <c r="A2" s="1181" t="s">
        <v>4</v>
      </c>
      <c r="B2" s="1182" t="s">
        <v>610</v>
      </c>
      <c r="C2" s="1183"/>
      <c r="D2" s="1182"/>
      <c r="E2" s="1182"/>
      <c r="F2" s="1184"/>
    </row>
    <row r="3" spans="1:6" ht="15.75" thickBot="1">
      <c r="A3" s="1185" t="s">
        <v>2</v>
      </c>
      <c r="B3" s="1186" t="s">
        <v>1406</v>
      </c>
      <c r="C3" s="1187"/>
      <c r="D3" s="1186"/>
      <c r="E3" s="1186"/>
      <c r="F3" s="1188"/>
    </row>
    <row r="4" spans="1:6" ht="21" customHeight="1" thickBot="1">
      <c r="A4" s="2641" t="s">
        <v>1407</v>
      </c>
      <c r="B4" s="2642"/>
      <c r="C4" s="2642"/>
      <c r="D4" s="2642"/>
      <c r="E4" s="2642"/>
      <c r="F4" s="2643"/>
    </row>
    <row r="5" spans="1:6">
      <c r="A5" s="1151" t="s">
        <v>1408</v>
      </c>
      <c r="B5" s="1203"/>
      <c r="C5" s="1150" t="s">
        <v>9</v>
      </c>
      <c r="D5" s="1151" t="s">
        <v>1409</v>
      </c>
      <c r="E5" s="1152" t="s">
        <v>1410</v>
      </c>
      <c r="F5" s="1153" t="s">
        <v>1411</v>
      </c>
    </row>
    <row r="6" spans="1:6">
      <c r="A6" s="1142" t="s">
        <v>1412</v>
      </c>
      <c r="B6" s="1204">
        <f>'[2]Memória de Dimensionamento'!U32</f>
        <v>1</v>
      </c>
      <c r="C6" s="1162" t="s">
        <v>1413</v>
      </c>
      <c r="D6" s="1142" t="s">
        <v>1414</v>
      </c>
      <c r="E6" s="1131" t="s">
        <v>49</v>
      </c>
      <c r="F6" s="1195">
        <f>Lb*Cb*Pt</f>
        <v>19.855000000000004</v>
      </c>
    </row>
    <row r="7" spans="1:6">
      <c r="A7" s="1142" t="s">
        <v>1415</v>
      </c>
      <c r="B7" s="1204">
        <f>ETE+0.3</f>
        <v>1.3</v>
      </c>
      <c r="C7" s="1162" t="s">
        <v>1416</v>
      </c>
      <c r="D7" s="1142" t="s">
        <v>1417</v>
      </c>
      <c r="E7" s="1131" t="s">
        <v>48</v>
      </c>
      <c r="F7" s="1195">
        <f>Lb*Cb</f>
        <v>9.0250000000000004</v>
      </c>
    </row>
    <row r="8" spans="1:6">
      <c r="A8" s="1142" t="s">
        <v>1418</v>
      </c>
      <c r="B8" s="1204">
        <f>'[2]Memória de Dimensionamento'!AA32</f>
        <v>2</v>
      </c>
      <c r="C8" s="1165" t="s">
        <v>1419</v>
      </c>
      <c r="D8" s="1142" t="s">
        <v>1417</v>
      </c>
      <c r="E8" s="1132" t="s">
        <v>48</v>
      </c>
      <c r="F8" s="1195">
        <f>Lb*Cb</f>
        <v>9.0250000000000004</v>
      </c>
    </row>
    <row r="9" spans="1:6">
      <c r="A9" s="1142" t="s">
        <v>1420</v>
      </c>
      <c r="B9" s="1204">
        <f>'[2]Memória de Dimensionamento'!V60</f>
        <v>1.7000000000000002</v>
      </c>
      <c r="C9" s="1162" t="s">
        <v>1421</v>
      </c>
      <c r="D9" s="1196" t="s">
        <v>1417</v>
      </c>
      <c r="E9" s="1131" t="s">
        <v>48</v>
      </c>
      <c r="F9" s="1195">
        <f>Lb*Cb</f>
        <v>9.0250000000000004</v>
      </c>
    </row>
    <row r="10" spans="1:6">
      <c r="A10" s="1142" t="s">
        <v>1422</v>
      </c>
      <c r="B10" s="1204">
        <f>CiFo+CiFi+3*0.15</f>
        <v>4.1500000000000004</v>
      </c>
      <c r="C10" s="1162" t="s">
        <v>1423</v>
      </c>
      <c r="D10" s="1142" t="s">
        <v>1424</v>
      </c>
      <c r="E10" s="1131" t="s">
        <v>49</v>
      </c>
      <c r="F10" s="1195">
        <f>(Lb*Cb*Eb)+(Le*ESGOTO*ADELMO)</f>
        <v>1.4420000000000002</v>
      </c>
    </row>
    <row r="11" spans="1:6">
      <c r="A11" s="1142" t="s">
        <v>1425</v>
      </c>
      <c r="B11" s="1204">
        <v>1.6</v>
      </c>
      <c r="C11" s="1162" t="s">
        <v>1426</v>
      </c>
      <c r="D11" s="1142" t="s">
        <v>1427</v>
      </c>
      <c r="E11" s="1132" t="s">
        <v>48</v>
      </c>
      <c r="F11" s="1195">
        <f>Le*ESGOTO</f>
        <v>5.3950000000000005</v>
      </c>
    </row>
    <row r="12" spans="1:6">
      <c r="A12" s="1142" t="s">
        <v>1428</v>
      </c>
      <c r="B12" s="1204">
        <v>0.1</v>
      </c>
      <c r="C12" s="1162" t="s">
        <v>1429</v>
      </c>
      <c r="D12" s="1196" t="s">
        <v>1430</v>
      </c>
      <c r="E12" s="1131" t="s">
        <v>72</v>
      </c>
      <c r="F12" s="1195">
        <f>(Le*ESGOTO*ADELMO)*70</f>
        <v>37.765000000000008</v>
      </c>
    </row>
    <row r="13" spans="1:6">
      <c r="A13" s="1142" t="s">
        <v>1431</v>
      </c>
      <c r="B13" s="1204">
        <f>(Le+0.6)</f>
        <v>1.9</v>
      </c>
      <c r="C13" s="1162" t="s">
        <v>1432</v>
      </c>
      <c r="D13" s="1196" t="s">
        <v>1433</v>
      </c>
      <c r="E13" s="1131" t="s">
        <v>48</v>
      </c>
      <c r="F13" s="1197">
        <f>((ETE*3)+(ESGOTO*2))*CFO</f>
        <v>18.080000000000002</v>
      </c>
    </row>
    <row r="14" spans="1:6" ht="30">
      <c r="A14" s="1142" t="s">
        <v>1434</v>
      </c>
      <c r="B14" s="1204">
        <f>ESGOTO+0.6</f>
        <v>4.75</v>
      </c>
      <c r="C14" s="1162" t="s">
        <v>1435</v>
      </c>
      <c r="D14" s="1198" t="s">
        <v>1436</v>
      </c>
      <c r="E14" s="1131" t="s">
        <v>48</v>
      </c>
      <c r="F14" s="1197">
        <f>(((ETE*4)+(CiFo*2)+(CiFi*2))*CFO)+(ETE*(CiFo+CiFi))+(PI()*KKKKKK*Hch*4)</f>
        <v>24.955928947446203</v>
      </c>
    </row>
    <row r="15" spans="1:6">
      <c r="A15" s="1142" t="s">
        <v>1437</v>
      </c>
      <c r="B15" s="1204">
        <v>0.1</v>
      </c>
      <c r="C15" s="1162" t="s">
        <v>1438</v>
      </c>
      <c r="D15" s="1196" t="s">
        <v>1439</v>
      </c>
      <c r="E15" s="1131" t="s">
        <v>48</v>
      </c>
      <c r="F15" s="1197">
        <f>(((PI()*(KKKKKK+0.1)^2)/4)*Hch)*4</f>
        <v>0.61575216010359934</v>
      </c>
    </row>
    <row r="16" spans="1:6">
      <c r="A16" s="1142" t="s">
        <v>1440</v>
      </c>
      <c r="B16" s="1204">
        <f>Le</f>
        <v>1.3</v>
      </c>
      <c r="C16" s="1162" t="s">
        <v>1564</v>
      </c>
      <c r="D16" s="1196" t="s">
        <v>1442</v>
      </c>
      <c r="E16" s="1131" t="s">
        <v>1226</v>
      </c>
      <c r="F16" s="1197">
        <v>4</v>
      </c>
    </row>
    <row r="17" spans="1:8">
      <c r="A17" s="1142" t="s">
        <v>1443</v>
      </c>
      <c r="B17" s="1204">
        <f>ESGOTO</f>
        <v>4.1500000000000004</v>
      </c>
      <c r="C17" s="2644" t="s">
        <v>1444</v>
      </c>
      <c r="D17" s="2645" t="s">
        <v>1445</v>
      </c>
      <c r="E17" s="2646" t="s">
        <v>49</v>
      </c>
      <c r="F17" s="2647">
        <f>(Lb*Cb*Pt)-(Lb*Cb*Eb)-(Le*ESGOTO*(CFO+ADELMO))-(((PI()*(KKKKKK+0.2)^2)/4)*4)</f>
        <v>7.7703807017025346</v>
      </c>
    </row>
    <row r="18" spans="1:8">
      <c r="A18" s="1142" t="s">
        <v>1446</v>
      </c>
      <c r="B18" s="1204">
        <v>0.4</v>
      </c>
      <c r="C18" s="2644"/>
      <c r="D18" s="2645"/>
      <c r="E18" s="2646"/>
      <c r="F18" s="2647"/>
    </row>
    <row r="19" spans="1:8">
      <c r="A19" s="1142" t="s">
        <v>1447</v>
      </c>
      <c r="B19" s="1204">
        <v>0.6</v>
      </c>
      <c r="C19" s="1162" t="s">
        <v>1448</v>
      </c>
      <c r="D19" s="1196" t="s">
        <v>1449</v>
      </c>
      <c r="E19" s="1132" t="s">
        <v>49</v>
      </c>
      <c r="F19" s="1195">
        <f>F6-F17</f>
        <v>12.084619298297469</v>
      </c>
    </row>
    <row r="20" spans="1:8">
      <c r="A20" s="1142" t="s">
        <v>1450</v>
      </c>
      <c r="B20" s="1204">
        <f>Hch+ADELMO+CFO+Eb</f>
        <v>2.2000000000000002</v>
      </c>
      <c r="C20" s="1162" t="s">
        <v>1451</v>
      </c>
      <c r="D20" s="1196" t="s">
        <v>1417</v>
      </c>
      <c r="E20" s="1131" t="s">
        <v>48</v>
      </c>
      <c r="F20" s="1195">
        <f>Lb*Cb</f>
        <v>9.0250000000000004</v>
      </c>
      <c r="H20" s="937" t="s">
        <v>1562</v>
      </c>
    </row>
    <row r="21" spans="1:8" ht="15.75" thickBot="1">
      <c r="A21" s="1159" t="s">
        <v>1452</v>
      </c>
      <c r="B21" s="1205">
        <v>0.8</v>
      </c>
      <c r="C21" s="1162" t="s">
        <v>1453</v>
      </c>
      <c r="D21" s="1196" t="s">
        <v>1454</v>
      </c>
      <c r="E21" s="1131" t="s">
        <v>49</v>
      </c>
      <c r="F21" s="1197">
        <f>0.1*0.1*1.7*3</f>
        <v>5.1000000000000004E-2</v>
      </c>
    </row>
    <row r="22" spans="1:8" ht="15.75" thickBot="1">
      <c r="A22" s="1202"/>
      <c r="B22" s="1206"/>
      <c r="C22" s="1163" t="s">
        <v>1455</v>
      </c>
      <c r="D22" s="1199" t="s">
        <v>1456</v>
      </c>
      <c r="E22" s="1200" t="s">
        <v>49</v>
      </c>
      <c r="F22" s="1201">
        <f>ETE*CiFi*ACF</f>
        <v>1.3600000000000003</v>
      </c>
      <c r="H22" s="937" t="s">
        <v>1561</v>
      </c>
    </row>
    <row r="23" spans="1:8" ht="15.75" thickBot="1">
      <c r="C23" s="917"/>
      <c r="D23" s="917"/>
      <c r="E23" s="918"/>
      <c r="F23" s="919"/>
    </row>
    <row r="24" spans="1:8" ht="16.5" thickBot="1">
      <c r="A24" s="2638" t="s">
        <v>1457</v>
      </c>
      <c r="B24" s="2639"/>
      <c r="C24" s="2639"/>
      <c r="D24" s="2639"/>
      <c r="E24" s="2639"/>
      <c r="F24" s="2640"/>
    </row>
    <row r="25" spans="1:8" ht="15.75" thickBot="1">
      <c r="A25" s="1189" t="s">
        <v>1408</v>
      </c>
      <c r="B25" s="1207"/>
      <c r="C25" s="1208" t="s">
        <v>9</v>
      </c>
      <c r="D25" s="1154" t="s">
        <v>1409</v>
      </c>
      <c r="E25" s="1155" t="s">
        <v>1410</v>
      </c>
      <c r="F25" s="1156" t="s">
        <v>1411</v>
      </c>
    </row>
    <row r="26" spans="1:8">
      <c r="A26" s="1157" t="s">
        <v>1458</v>
      </c>
      <c r="B26" s="1192">
        <f>'[2]Memória de Dimensionamento'!H75</f>
        <v>1.8</v>
      </c>
      <c r="C26" s="1161" t="s">
        <v>1413</v>
      </c>
      <c r="D26" s="1164" t="s">
        <v>1459</v>
      </c>
      <c r="E26" s="1173" t="s">
        <v>49</v>
      </c>
      <c r="F26" s="1169">
        <f>((PI()*(DIs+0.2)^2)/4)*Pts</f>
        <v>9.1106186954104</v>
      </c>
    </row>
    <row r="27" spans="1:8">
      <c r="A27" s="692" t="s">
        <v>1460</v>
      </c>
      <c r="B27" s="1193">
        <f>DIs+0.4</f>
        <v>2.2000000000000002</v>
      </c>
      <c r="C27" s="1162" t="s">
        <v>1461</v>
      </c>
      <c r="D27" s="1165" t="s">
        <v>1462</v>
      </c>
      <c r="E27" s="1174" t="s">
        <v>48</v>
      </c>
      <c r="F27" s="1170">
        <f>(((PI()*(DIs+0.2))*(0.2*3)))*2</f>
        <v>7.5398223686155044</v>
      </c>
    </row>
    <row r="28" spans="1:8">
      <c r="A28" s="692" t="s">
        <v>1463</v>
      </c>
      <c r="B28" s="1193">
        <f>'[2]Memória de Dimensionamento'!M75</f>
        <v>2.4</v>
      </c>
      <c r="C28" s="1162" t="s">
        <v>1464</v>
      </c>
      <c r="D28" s="1165" t="s">
        <v>1465</v>
      </c>
      <c r="E28" s="1172" t="s">
        <v>48</v>
      </c>
      <c r="F28" s="1170">
        <f>(PI()*(DIs+0.4)^2)/4</f>
        <v>3.8013271108436504</v>
      </c>
    </row>
    <row r="29" spans="1:8" ht="30">
      <c r="A29" s="687" t="s">
        <v>1466</v>
      </c>
      <c r="B29" s="1193">
        <v>0.1</v>
      </c>
      <c r="C29" s="1162" t="s">
        <v>1467</v>
      </c>
      <c r="D29" s="1166" t="s">
        <v>1468</v>
      </c>
      <c r="E29" s="1174" t="s">
        <v>49</v>
      </c>
      <c r="F29" s="1170">
        <f>(((PI()*(DIs+0.2))*(0.2*0.2)))*2+(((PI()*(DIs+0.2)^2)/4)*Ets)</f>
        <v>0.81681408993334625</v>
      </c>
    </row>
    <row r="30" spans="1:8" ht="30">
      <c r="A30" s="692" t="s">
        <v>1469</v>
      </c>
      <c r="B30" s="1193">
        <v>0.4</v>
      </c>
      <c r="C30" s="1162" t="s">
        <v>1470</v>
      </c>
      <c r="D30" s="1167" t="s">
        <v>1471</v>
      </c>
      <c r="E30" s="1172" t="s">
        <v>1226</v>
      </c>
      <c r="F30" s="1170">
        <f>ROUNDUP((4466/25)*((PI()*(DIs+0.2)^2)/4)*His,0)</f>
        <v>1347</v>
      </c>
    </row>
    <row r="31" spans="1:8" ht="30">
      <c r="A31" s="692" t="s">
        <v>1472</v>
      </c>
      <c r="B31" s="1193">
        <v>0.6</v>
      </c>
      <c r="C31" s="1162" t="s">
        <v>1473</v>
      </c>
      <c r="D31" s="1167" t="s">
        <v>1474</v>
      </c>
      <c r="E31" s="1172" t="s">
        <v>49</v>
      </c>
      <c r="F31" s="1170">
        <f>(1.72/4466)*F30</f>
        <v>0.51877295118674427</v>
      </c>
    </row>
    <row r="32" spans="1:8">
      <c r="A32" s="687" t="s">
        <v>1687</v>
      </c>
      <c r="B32" s="1193">
        <f>His+Ets+Hcs</f>
        <v>2.9</v>
      </c>
      <c r="C32" s="1162" t="s">
        <v>1429</v>
      </c>
      <c r="D32" s="1167" t="s">
        <v>1475</v>
      </c>
      <c r="E32" s="1174" t="s">
        <v>72</v>
      </c>
      <c r="F32" s="1170">
        <f>(((PI()*(DIs+0.4)^2)/4)*Ets)*70</f>
        <v>26.609289775905555</v>
      </c>
    </row>
    <row r="33" spans="1:9">
      <c r="A33" s="692"/>
      <c r="B33" s="1194"/>
      <c r="C33" s="1162" t="s">
        <v>1435</v>
      </c>
      <c r="D33" s="1162" t="s">
        <v>1476</v>
      </c>
      <c r="E33" s="1174" t="s">
        <v>48</v>
      </c>
      <c r="F33" s="1171">
        <f>(PI()*Dcs*Hcs)</f>
        <v>0.75398223686155041</v>
      </c>
    </row>
    <row r="34" spans="1:9">
      <c r="A34" s="692" t="s">
        <v>1591</v>
      </c>
      <c r="B34" s="1194"/>
      <c r="C34" s="1162" t="s">
        <v>1438</v>
      </c>
      <c r="D34" s="1162" t="s">
        <v>1477</v>
      </c>
      <c r="E34" s="1174" t="s">
        <v>48</v>
      </c>
      <c r="F34" s="1171">
        <f>(PI()*(Dcs+0.1)*Hcs)</f>
        <v>0.87964594300514209</v>
      </c>
    </row>
    <row r="35" spans="1:9">
      <c r="A35" s="692" t="s">
        <v>1592</v>
      </c>
      <c r="B35" s="1194"/>
      <c r="C35" s="1162" t="s">
        <v>1441</v>
      </c>
      <c r="D35" s="1162" t="s">
        <v>1478</v>
      </c>
      <c r="E35" s="1174" t="s">
        <v>1226</v>
      </c>
      <c r="F35" s="1171">
        <v>1</v>
      </c>
    </row>
    <row r="36" spans="1:9" ht="30">
      <c r="A36" s="1142" t="s">
        <v>1594</v>
      </c>
      <c r="B36" s="1194"/>
      <c r="C36" s="1162" t="s">
        <v>461</v>
      </c>
      <c r="D36" s="1167" t="s">
        <v>1479</v>
      </c>
      <c r="E36" s="1172" t="s">
        <v>59</v>
      </c>
      <c r="F36" s="1170">
        <f>(64.587/4466)*F30</f>
        <v>19.480225929243172</v>
      </c>
    </row>
    <row r="37" spans="1:9" ht="30">
      <c r="A37" s="692"/>
      <c r="B37" s="1158"/>
      <c r="C37" s="1162" t="s">
        <v>1480</v>
      </c>
      <c r="D37" s="1167" t="s">
        <v>1479</v>
      </c>
      <c r="E37" s="1172" t="s">
        <v>59</v>
      </c>
      <c r="F37" s="1170">
        <f>(64.587/4466)*F30</f>
        <v>19.480225929243172</v>
      </c>
    </row>
    <row r="38" spans="1:9" ht="15.75" thickBot="1">
      <c r="A38" s="694"/>
      <c r="B38" s="1160"/>
      <c r="C38" s="1163" t="s">
        <v>1481</v>
      </c>
      <c r="D38" s="1168" t="s">
        <v>1482</v>
      </c>
      <c r="E38" s="1175" t="s">
        <v>49</v>
      </c>
      <c r="F38" s="1176">
        <f>((PI()*DIs^2)/4)*0.3</f>
        <v>0.76340701482231976</v>
      </c>
    </row>
    <row r="39" spans="1:9" ht="44.25" customHeight="1" thickBot="1">
      <c r="A39" s="1190"/>
      <c r="B39" s="1191"/>
      <c r="C39" s="2044" t="s">
        <v>2199</v>
      </c>
      <c r="D39" s="2044"/>
      <c r="E39" s="2636" t="s">
        <v>1683</v>
      </c>
      <c r="F39" s="2637"/>
      <c r="G39" s="1128"/>
      <c r="H39" s="1128"/>
      <c r="I39" s="1126"/>
    </row>
  </sheetData>
  <mergeCells count="8">
    <mergeCell ref="C39:D39"/>
    <mergeCell ref="E39:F39"/>
    <mergeCell ref="A24:F24"/>
    <mergeCell ref="A4:F4"/>
    <mergeCell ref="C17:C18"/>
    <mergeCell ref="D17:D18"/>
    <mergeCell ref="E17:E18"/>
    <mergeCell ref="F17:F18"/>
  </mergeCells>
  <printOptions horizontalCentered="1"/>
  <pageMargins left="0.98425196850393704" right="0.78740157480314965" top="0.98425196850393704" bottom="0.78740157480314965" header="0.59055118110236227" footer="0.39370078740157483"/>
  <pageSetup paperSize="9" scale="6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2"/>
  <sheetViews>
    <sheetView topLeftCell="A49" workbookViewId="0">
      <selection activeCell="A86" sqref="A86"/>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648" t="s">
        <v>1519</v>
      </c>
      <c r="B1" s="2648"/>
      <c r="C1" s="896"/>
      <c r="D1" s="897"/>
    </row>
    <row r="2" spans="1:4" ht="15" customHeight="1">
      <c r="A2" s="1209" t="s">
        <v>1320</v>
      </c>
      <c r="B2" s="1214" t="s">
        <v>1688</v>
      </c>
      <c r="C2" s="570"/>
      <c r="D2" s="901"/>
    </row>
    <row r="3" spans="1:4" ht="16.5" customHeight="1">
      <c r="A3" s="1215" t="s">
        <v>1338</v>
      </c>
      <c r="B3" s="1216">
        <v>2</v>
      </c>
      <c r="C3" s="522"/>
      <c r="D3" s="415"/>
    </row>
    <row r="4" spans="1:4">
      <c r="A4" s="1215" t="s">
        <v>1339</v>
      </c>
      <c r="B4" s="1216">
        <v>1</v>
      </c>
      <c r="C4" s="522"/>
      <c r="D4" s="899"/>
    </row>
    <row r="5" spans="1:4">
      <c r="A5" s="1215" t="s">
        <v>1336</v>
      </c>
      <c r="B5" s="1216">
        <v>1</v>
      </c>
      <c r="C5" s="522"/>
      <c r="D5" s="415"/>
    </row>
    <row r="6" spans="1:4">
      <c r="A6" s="1215" t="s">
        <v>1335</v>
      </c>
      <c r="B6" s="1216">
        <v>1</v>
      </c>
      <c r="C6" s="522"/>
      <c r="D6" s="415"/>
    </row>
    <row r="7" spans="1:4">
      <c r="A7" s="1215" t="s">
        <v>1334</v>
      </c>
      <c r="B7" s="1216">
        <v>2</v>
      </c>
      <c r="C7" s="522"/>
      <c r="D7" s="899"/>
    </row>
    <row r="8" spans="1:4">
      <c r="A8" s="1215" t="s">
        <v>1337</v>
      </c>
      <c r="B8" s="1216">
        <v>4</v>
      </c>
      <c r="C8" s="522"/>
      <c r="D8" s="415"/>
    </row>
    <row r="9" spans="1:4" ht="13.5" customHeight="1">
      <c r="A9" s="1211" t="s">
        <v>1321</v>
      </c>
      <c r="B9" s="1210"/>
      <c r="C9" s="898"/>
      <c r="D9" s="415"/>
    </row>
    <row r="10" spans="1:4">
      <c r="A10" s="1215" t="s">
        <v>1360</v>
      </c>
      <c r="B10" s="1216">
        <v>1</v>
      </c>
      <c r="C10" s="898"/>
      <c r="D10" s="415"/>
    </row>
    <row r="11" spans="1:4">
      <c r="A11" s="1215" t="s">
        <v>1340</v>
      </c>
      <c r="B11" s="1216">
        <v>1</v>
      </c>
      <c r="C11" s="898"/>
      <c r="D11" s="900"/>
    </row>
    <row r="12" spans="1:4">
      <c r="A12" s="1215" t="s">
        <v>1341</v>
      </c>
      <c r="B12" s="1216">
        <v>2</v>
      </c>
      <c r="C12" s="898"/>
      <c r="D12" s="415"/>
    </row>
    <row r="13" spans="1:4">
      <c r="A13" s="1215" t="s">
        <v>1346</v>
      </c>
      <c r="B13" s="1216">
        <v>2</v>
      </c>
      <c r="C13" s="522"/>
      <c r="D13" s="415"/>
    </row>
    <row r="14" spans="1:4" ht="18" customHeight="1">
      <c r="A14" s="1215" t="s">
        <v>1345</v>
      </c>
      <c r="B14" s="1216">
        <v>3</v>
      </c>
      <c r="C14" s="522"/>
      <c r="D14" s="415"/>
    </row>
    <row r="15" spans="1:4" ht="15.75" customHeight="1">
      <c r="A15" s="1215" t="s">
        <v>1342</v>
      </c>
      <c r="B15" s="1216">
        <v>2</v>
      </c>
      <c r="C15" s="522"/>
      <c r="D15" s="415"/>
    </row>
    <row r="16" spans="1:4" ht="15" customHeight="1">
      <c r="A16" s="1217" t="s">
        <v>1322</v>
      </c>
      <c r="B16" s="1218"/>
      <c r="C16" s="522"/>
      <c r="D16" s="415"/>
    </row>
    <row r="17" spans="1:4" ht="14.25" customHeight="1">
      <c r="A17" s="1219" t="s">
        <v>1347</v>
      </c>
      <c r="B17" s="1216">
        <v>4</v>
      </c>
      <c r="C17" s="522"/>
      <c r="D17" s="415"/>
    </row>
    <row r="18" spans="1:4" ht="15.75" customHeight="1">
      <c r="A18" s="1215" t="s">
        <v>1348</v>
      </c>
      <c r="B18" s="1216">
        <v>6</v>
      </c>
      <c r="C18" s="522"/>
      <c r="D18" s="415"/>
    </row>
    <row r="19" spans="1:4" ht="15.75" customHeight="1">
      <c r="A19" s="1215" t="s">
        <v>1349</v>
      </c>
      <c r="B19" s="1216">
        <v>2</v>
      </c>
      <c r="C19" s="522"/>
      <c r="D19" s="415"/>
    </row>
    <row r="20" spans="1:4" ht="17.25" customHeight="1">
      <c r="A20" s="1215" t="s">
        <v>1350</v>
      </c>
      <c r="B20" s="1216">
        <v>4</v>
      </c>
      <c r="C20" s="522"/>
      <c r="D20" s="415"/>
    </row>
    <row r="21" spans="1:4" ht="16.5" customHeight="1">
      <c r="A21" s="1215" t="s">
        <v>1351</v>
      </c>
      <c r="B21" s="1216">
        <v>2</v>
      </c>
      <c r="C21" s="522"/>
      <c r="D21" s="415"/>
    </row>
    <row r="22" spans="1:4" ht="16.5" customHeight="1">
      <c r="A22" s="1217" t="s">
        <v>1323</v>
      </c>
      <c r="B22" s="1218"/>
      <c r="C22" s="522"/>
      <c r="D22" s="415"/>
    </row>
    <row r="23" spans="1:4">
      <c r="A23" s="1215" t="s">
        <v>1352</v>
      </c>
      <c r="B23" s="1216">
        <v>1</v>
      </c>
      <c r="C23" s="522"/>
      <c r="D23" s="415"/>
    </row>
    <row r="24" spans="1:4">
      <c r="A24" s="1215" t="s">
        <v>1353</v>
      </c>
      <c r="B24" s="1216">
        <v>1</v>
      </c>
      <c r="C24" s="522"/>
      <c r="D24" s="415"/>
    </row>
    <row r="25" spans="1:4">
      <c r="A25" s="1220" t="s">
        <v>1354</v>
      </c>
      <c r="B25" s="1221">
        <v>4</v>
      </c>
      <c r="C25" s="522"/>
      <c r="D25" s="415"/>
    </row>
    <row r="26" spans="1:4" ht="16.5" customHeight="1">
      <c r="A26" s="1215" t="s">
        <v>1355</v>
      </c>
      <c r="B26" s="1216">
        <v>2</v>
      </c>
      <c r="C26" s="522"/>
      <c r="D26" s="415"/>
    </row>
    <row r="27" spans="1:4" ht="19.5" customHeight="1">
      <c r="A27" s="1217" t="s">
        <v>1324</v>
      </c>
      <c r="B27" s="1218"/>
      <c r="C27" s="522"/>
      <c r="D27" s="415"/>
    </row>
    <row r="28" spans="1:4" ht="19.5" customHeight="1">
      <c r="A28" s="1220" t="s">
        <v>1344</v>
      </c>
      <c r="B28" s="1221">
        <v>2</v>
      </c>
      <c r="C28" s="522"/>
      <c r="D28" s="415"/>
    </row>
    <row r="29" spans="1:4">
      <c r="A29" s="1217" t="s">
        <v>1325</v>
      </c>
      <c r="B29" s="1218"/>
      <c r="C29" s="522"/>
      <c r="D29" s="415"/>
    </row>
    <row r="30" spans="1:4">
      <c r="A30" s="1222" t="s">
        <v>1326</v>
      </c>
      <c r="B30" s="1223"/>
      <c r="C30" s="522"/>
      <c r="D30" s="415"/>
    </row>
    <row r="31" spans="1:4">
      <c r="A31" s="1224" t="s">
        <v>1708</v>
      </c>
      <c r="B31" s="1216">
        <v>1</v>
      </c>
      <c r="C31" s="522"/>
      <c r="D31" s="415"/>
    </row>
    <row r="32" spans="1:4">
      <c r="A32" s="1224" t="s">
        <v>1709</v>
      </c>
      <c r="B32" s="1216">
        <v>1</v>
      </c>
      <c r="C32" s="522"/>
      <c r="D32" s="415"/>
    </row>
    <row r="33" spans="1:4">
      <c r="A33" s="494" t="s">
        <v>1710</v>
      </c>
      <c r="B33" s="1216">
        <v>3</v>
      </c>
      <c r="C33" s="522"/>
      <c r="D33" s="415"/>
    </row>
    <row r="34" spans="1:4" ht="15.75" customHeight="1">
      <c r="A34" s="1222" t="s">
        <v>1327</v>
      </c>
      <c r="B34" s="1225"/>
      <c r="C34" s="522"/>
      <c r="D34" s="415"/>
    </row>
    <row r="35" spans="1:4" ht="13.5" customHeight="1">
      <c r="A35" s="1215" t="s">
        <v>1517</v>
      </c>
      <c r="B35" s="1216">
        <v>3</v>
      </c>
      <c r="C35" s="522"/>
      <c r="D35" s="415"/>
    </row>
    <row r="36" spans="1:4" ht="14.25" customHeight="1">
      <c r="A36" s="1215" t="s">
        <v>1518</v>
      </c>
      <c r="B36" s="1216">
        <v>10</v>
      </c>
      <c r="C36" s="522"/>
      <c r="D36" s="415"/>
    </row>
    <row r="37" spans="1:4" ht="17.25" customHeight="1">
      <c r="A37" s="1215" t="s">
        <v>1356</v>
      </c>
      <c r="B37" s="1216">
        <v>3</v>
      </c>
      <c r="C37" s="522"/>
      <c r="D37" s="415"/>
    </row>
    <row r="38" spans="1:4" ht="15.75" customHeight="1">
      <c r="A38" s="1226" t="s">
        <v>1328</v>
      </c>
      <c r="B38" s="1227"/>
      <c r="C38" s="522"/>
      <c r="D38" s="415"/>
    </row>
    <row r="39" spans="1:4">
      <c r="A39" s="1215" t="s">
        <v>1706</v>
      </c>
      <c r="B39" s="1216">
        <v>20</v>
      </c>
      <c r="C39" s="522"/>
      <c r="D39" s="415"/>
    </row>
    <row r="40" spans="1:4" ht="16.5" customHeight="1">
      <c r="A40" s="1215" t="s">
        <v>1515</v>
      </c>
      <c r="B40" s="1216">
        <v>5</v>
      </c>
      <c r="C40" s="522"/>
      <c r="D40" s="415"/>
    </row>
    <row r="41" spans="1:4">
      <c r="A41" s="1226" t="s">
        <v>1329</v>
      </c>
      <c r="B41" s="1227"/>
      <c r="C41" s="522"/>
      <c r="D41" s="415"/>
    </row>
    <row r="42" spans="1:4">
      <c r="A42" s="1215" t="s">
        <v>1516</v>
      </c>
      <c r="B42" s="1216">
        <v>5</v>
      </c>
      <c r="C42" s="522"/>
      <c r="D42" s="902"/>
    </row>
    <row r="43" spans="1:4" ht="12.75" customHeight="1">
      <c r="A43" s="1215" t="s">
        <v>1705</v>
      </c>
      <c r="B43" s="1216">
        <v>2</v>
      </c>
      <c r="C43" s="522"/>
      <c r="D43" s="415"/>
    </row>
    <row r="44" spans="1:4">
      <c r="A44" s="1226" t="s">
        <v>1330</v>
      </c>
      <c r="B44" s="1228"/>
      <c r="C44" s="522"/>
      <c r="D44" s="415"/>
    </row>
    <row r="45" spans="1:4">
      <c r="A45" s="1215" t="s">
        <v>1689</v>
      </c>
      <c r="B45" s="1228">
        <v>55.66</v>
      </c>
      <c r="C45" s="522"/>
      <c r="D45" s="415"/>
    </row>
    <row r="46" spans="1:4" ht="15.75" customHeight="1">
      <c r="A46" s="1215" t="s">
        <v>1704</v>
      </c>
      <c r="B46" s="1228">
        <v>14.87</v>
      </c>
      <c r="C46" s="522"/>
      <c r="D46" s="415"/>
    </row>
    <row r="47" spans="1:4">
      <c r="A47" s="1215" t="s">
        <v>1331</v>
      </c>
      <c r="B47" s="1216">
        <v>5</v>
      </c>
      <c r="C47" s="522"/>
      <c r="D47" s="415"/>
    </row>
    <row r="48" spans="1:4" ht="16.5" customHeight="1" thickBot="1">
      <c r="A48" s="1248" t="s">
        <v>1357</v>
      </c>
      <c r="B48" s="1237">
        <v>2</v>
      </c>
      <c r="C48" s="522"/>
      <c r="D48" s="415"/>
    </row>
    <row r="49" spans="1:7" ht="15" customHeight="1" thickBot="1">
      <c r="A49" s="1212" t="s">
        <v>1332</v>
      </c>
      <c r="B49" s="1213"/>
      <c r="C49" s="522"/>
      <c r="D49" s="415"/>
    </row>
    <row r="50" spans="1:7" ht="16.5" customHeight="1">
      <c r="A50" s="1239" t="s">
        <v>1358</v>
      </c>
      <c r="B50" s="1240">
        <v>1</v>
      </c>
      <c r="C50" s="522"/>
      <c r="D50" s="415"/>
    </row>
    <row r="51" spans="1:7" ht="15.75" customHeight="1">
      <c r="A51" s="1215" t="s">
        <v>1359</v>
      </c>
      <c r="B51" s="1216">
        <v>9</v>
      </c>
      <c r="C51" s="522"/>
      <c r="D51" s="415"/>
    </row>
    <row r="52" spans="1:7">
      <c r="A52" s="1230" t="s">
        <v>1333</v>
      </c>
      <c r="B52" s="1231"/>
      <c r="C52" s="522"/>
      <c r="D52" s="415"/>
    </row>
    <row r="53" spans="1:7" ht="17.25" customHeight="1" thickBot="1">
      <c r="A53" s="1241" t="s">
        <v>1343</v>
      </c>
      <c r="B53" s="1229">
        <v>1</v>
      </c>
      <c r="C53" s="522"/>
      <c r="D53" s="415"/>
    </row>
    <row r="54" spans="1:7" ht="18" customHeight="1" thickBot="1">
      <c r="A54" s="2649" t="s">
        <v>1686</v>
      </c>
      <c r="B54" s="2650"/>
      <c r="C54" s="898"/>
      <c r="D54" s="415"/>
      <c r="F54" s="895"/>
      <c r="G54" s="895"/>
    </row>
    <row r="55" spans="1:7" ht="16.5" customHeight="1">
      <c r="A55" s="2651" t="s">
        <v>1494</v>
      </c>
      <c r="B55" s="2652"/>
      <c r="C55" s="898"/>
      <c r="D55" s="415"/>
      <c r="G55" s="895"/>
    </row>
    <row r="56" spans="1:7" ht="18" customHeight="1">
      <c r="A56" s="1242" t="s">
        <v>1495</v>
      </c>
      <c r="B56" s="1243">
        <v>3</v>
      </c>
      <c r="C56" s="898"/>
      <c r="D56" s="415"/>
      <c r="G56" s="895"/>
    </row>
    <row r="57" spans="1:7" ht="12" customHeight="1">
      <c r="A57" s="1242" t="s">
        <v>1496</v>
      </c>
      <c r="B57" s="1243">
        <v>1</v>
      </c>
      <c r="C57" s="898"/>
      <c r="D57" s="415"/>
      <c r="G57" s="895"/>
    </row>
    <row r="58" spans="1:7" ht="17.25" customHeight="1">
      <c r="A58" s="2653" t="s">
        <v>1497</v>
      </c>
      <c r="B58" s="2654"/>
      <c r="C58" s="522"/>
      <c r="D58" s="415"/>
      <c r="F58" s="895"/>
      <c r="G58" s="895"/>
    </row>
    <row r="59" spans="1:7">
      <c r="A59" s="1249" t="s">
        <v>1698</v>
      </c>
      <c r="B59" s="1243">
        <v>7</v>
      </c>
      <c r="C59" s="522"/>
      <c r="D59" s="415"/>
      <c r="F59" s="895"/>
      <c r="G59" s="895"/>
    </row>
    <row r="60" spans="1:7" ht="15" customHeight="1">
      <c r="A60" s="1242" t="s">
        <v>1498</v>
      </c>
      <c r="B60" s="1243">
        <v>4</v>
      </c>
      <c r="C60" s="522"/>
      <c r="D60" s="415"/>
      <c r="G60" s="895"/>
    </row>
    <row r="61" spans="1:7" ht="15" customHeight="1">
      <c r="A61" s="1249" t="s">
        <v>1699</v>
      </c>
      <c r="B61" s="1243">
        <v>7</v>
      </c>
      <c r="C61" s="522"/>
      <c r="D61" s="903"/>
      <c r="G61" s="895"/>
    </row>
    <row r="62" spans="1:7" ht="14.25" customHeight="1">
      <c r="A62" s="1242" t="s">
        <v>1502</v>
      </c>
      <c r="B62" s="1243">
        <v>7</v>
      </c>
      <c r="C62" s="522"/>
      <c r="D62" s="415"/>
      <c r="G62" s="895"/>
    </row>
    <row r="63" spans="1:7" ht="15.75" customHeight="1">
      <c r="A63" s="1242" t="s">
        <v>1701</v>
      </c>
      <c r="B63" s="1243">
        <v>2</v>
      </c>
      <c r="C63" s="522"/>
      <c r="D63" s="415"/>
      <c r="G63" s="895"/>
    </row>
    <row r="64" spans="1:7">
      <c r="A64" s="1242" t="s">
        <v>1700</v>
      </c>
      <c r="B64" s="1243">
        <v>7</v>
      </c>
      <c r="C64" s="61"/>
      <c r="D64" s="61"/>
      <c r="G64" s="895"/>
    </row>
    <row r="65" spans="1:7">
      <c r="A65" s="1242" t="s">
        <v>1523</v>
      </c>
      <c r="B65" s="1243">
        <v>7</v>
      </c>
      <c r="G65" s="895"/>
    </row>
    <row r="66" spans="1:7">
      <c r="A66" s="1249" t="s">
        <v>1499</v>
      </c>
      <c r="B66" s="1244"/>
      <c r="G66" s="895"/>
    </row>
    <row r="67" spans="1:7">
      <c r="A67" s="1242" t="s">
        <v>1500</v>
      </c>
      <c r="B67" s="1243">
        <v>2</v>
      </c>
      <c r="G67" s="517"/>
    </row>
    <row r="68" spans="1:7">
      <c r="A68" s="1242" t="s">
        <v>1702</v>
      </c>
      <c r="B68" s="1243">
        <v>4</v>
      </c>
      <c r="G68" s="517"/>
    </row>
    <row r="69" spans="1:7">
      <c r="A69" s="1242" t="s">
        <v>1703</v>
      </c>
      <c r="B69" s="1243">
        <v>2</v>
      </c>
      <c r="G69" s="517"/>
    </row>
    <row r="70" spans="1:7">
      <c r="A70" s="1249" t="s">
        <v>1501</v>
      </c>
      <c r="B70" s="1243"/>
      <c r="G70" s="517"/>
    </row>
    <row r="71" spans="1:7">
      <c r="A71" s="1242" t="s">
        <v>1502</v>
      </c>
      <c r="B71" s="1243">
        <v>8</v>
      </c>
    </row>
    <row r="72" spans="1:7">
      <c r="A72" s="1242" t="s">
        <v>1503</v>
      </c>
      <c r="B72" s="1243">
        <v>1</v>
      </c>
    </row>
    <row r="73" spans="1:7">
      <c r="A73" s="1249" t="s">
        <v>1697</v>
      </c>
      <c r="B73" s="1244"/>
    </row>
    <row r="74" spans="1:7">
      <c r="A74" s="1246" t="s">
        <v>1690</v>
      </c>
      <c r="B74" s="1243" t="s">
        <v>1693</v>
      </c>
    </row>
    <row r="75" spans="1:7">
      <c r="A75" s="1242" t="s">
        <v>1707</v>
      </c>
      <c r="B75" s="1243" t="s">
        <v>1694</v>
      </c>
    </row>
    <row r="76" spans="1:7">
      <c r="A76" s="1246" t="s">
        <v>1691</v>
      </c>
      <c r="B76" s="1243" t="s">
        <v>1695</v>
      </c>
    </row>
    <row r="77" spans="1:7">
      <c r="A77" s="339" t="s">
        <v>1692</v>
      </c>
      <c r="B77" s="1243" t="s">
        <v>1696</v>
      </c>
    </row>
    <row r="78" spans="1:7">
      <c r="A78" s="1249" t="s">
        <v>1504</v>
      </c>
      <c r="B78" s="1244"/>
    </row>
    <row r="79" spans="1:7">
      <c r="A79" s="1242" t="s">
        <v>1505</v>
      </c>
      <c r="B79" s="1243">
        <v>2</v>
      </c>
    </row>
    <row r="80" spans="1:7" ht="15.75" thickBot="1">
      <c r="A80" s="1247" t="s">
        <v>1506</v>
      </c>
      <c r="B80" s="1245">
        <v>5</v>
      </c>
    </row>
    <row r="81" spans="1:3">
      <c r="A81" s="2655" t="s">
        <v>1322</v>
      </c>
      <c r="B81" s="2656"/>
    </row>
    <row r="82" spans="1:3">
      <c r="A82" s="1250" t="s">
        <v>1507</v>
      </c>
      <c r="B82" s="1234"/>
    </row>
    <row r="83" spans="1:3">
      <c r="A83" s="1232" t="s">
        <v>1508</v>
      </c>
      <c r="B83" s="1233">
        <v>1</v>
      </c>
    </row>
    <row r="84" spans="1:3">
      <c r="A84" s="1232" t="s">
        <v>1509</v>
      </c>
      <c r="B84" s="1233">
        <v>5</v>
      </c>
    </row>
    <row r="85" spans="1:3">
      <c r="A85" s="1232" t="s">
        <v>1534</v>
      </c>
      <c r="B85" s="1233">
        <v>2</v>
      </c>
    </row>
    <row r="86" spans="1:3">
      <c r="A86" s="1250" t="s">
        <v>1510</v>
      </c>
      <c r="B86" s="1238"/>
    </row>
    <row r="87" spans="1:3">
      <c r="A87" s="1232" t="s">
        <v>1511</v>
      </c>
      <c r="B87" s="1233">
        <v>7</v>
      </c>
    </row>
    <row r="88" spans="1:3">
      <c r="A88" s="1232" t="s">
        <v>1512</v>
      </c>
      <c r="B88" s="1233">
        <v>1</v>
      </c>
    </row>
    <row r="89" spans="1:3">
      <c r="A89" s="1232" t="s">
        <v>1513</v>
      </c>
      <c r="B89" s="1233">
        <v>7</v>
      </c>
    </row>
    <row r="90" spans="1:3" ht="15.75" thickBot="1">
      <c r="A90" s="1235" t="s">
        <v>1514</v>
      </c>
      <c r="B90" s="1236">
        <v>1</v>
      </c>
    </row>
    <row r="91" spans="1:3" ht="5.25" customHeight="1" thickBot="1"/>
    <row r="92" spans="1:3" ht="37.5" customHeight="1" thickBot="1">
      <c r="A92" s="1139" t="s">
        <v>1685</v>
      </c>
      <c r="B92" s="1141" t="s">
        <v>1683</v>
      </c>
      <c r="C92" s="1140"/>
    </row>
  </sheetData>
  <mergeCells count="5">
    <mergeCell ref="A1:B1"/>
    <mergeCell ref="A54:B54"/>
    <mergeCell ref="A55:B55"/>
    <mergeCell ref="A58:B58"/>
    <mergeCell ref="A81:B81"/>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topLeftCell="A7" workbookViewId="0">
      <selection activeCell="E12" sqref="E12"/>
    </sheetView>
  </sheetViews>
  <sheetFormatPr defaultRowHeight="15"/>
  <cols>
    <col min="1" max="1" width="40.140625" customWidth="1"/>
    <col min="2" max="2" width="29.140625" customWidth="1"/>
    <col min="3" max="3" width="14" customWidth="1"/>
  </cols>
  <sheetData>
    <row r="1" spans="1:3" ht="15.75">
      <c r="A1" s="2661"/>
      <c r="B1" s="2662"/>
      <c r="C1" s="2663"/>
    </row>
    <row r="2" spans="1:3">
      <c r="A2" s="2664" t="s">
        <v>127</v>
      </c>
      <c r="B2" s="2665"/>
      <c r="C2" s="2666"/>
    </row>
    <row r="3" spans="1:3">
      <c r="A3" s="2667" t="s">
        <v>128</v>
      </c>
      <c r="B3" s="2668"/>
      <c r="C3" s="2669"/>
    </row>
    <row r="4" spans="1:3" ht="15.75" thickBot="1">
      <c r="A4" s="306"/>
      <c r="B4" s="307"/>
      <c r="C4" s="308"/>
    </row>
    <row r="5" spans="1:3" ht="30.75" customHeight="1">
      <c r="A5" s="2670" t="s">
        <v>184</v>
      </c>
      <c r="B5" s="2671"/>
      <c r="C5" s="2672"/>
    </row>
    <row r="6" spans="1:3" ht="15.75">
      <c r="A6" s="260"/>
      <c r="B6" s="261"/>
      <c r="C6" s="262"/>
    </row>
    <row r="7" spans="1:3">
      <c r="A7" s="263"/>
      <c r="B7" s="264" t="s">
        <v>138</v>
      </c>
      <c r="C7" s="265">
        <v>42339</v>
      </c>
    </row>
    <row r="8" spans="1:3" ht="15.75" thickBot="1">
      <c r="A8" s="263"/>
      <c r="B8" s="266"/>
      <c r="C8" s="265"/>
    </row>
    <row r="9" spans="1:3" ht="15.75" thickBot="1">
      <c r="A9" s="2657" t="s">
        <v>139</v>
      </c>
      <c r="B9" s="2658"/>
      <c r="C9" s="267" t="s">
        <v>32</v>
      </c>
    </row>
    <row r="10" spans="1:3">
      <c r="A10" s="268" t="s">
        <v>140</v>
      </c>
      <c r="B10" s="269"/>
      <c r="C10" s="270">
        <v>0.04</v>
      </c>
    </row>
    <row r="11" spans="1:3">
      <c r="A11" s="271" t="s">
        <v>141</v>
      </c>
      <c r="B11" s="272"/>
      <c r="C11" s="273">
        <v>1.23E-2</v>
      </c>
    </row>
    <row r="12" spans="1:3">
      <c r="A12" s="271" t="s">
        <v>142</v>
      </c>
      <c r="B12" s="272"/>
      <c r="C12" s="273">
        <v>1.2699999999999999E-2</v>
      </c>
    </row>
    <row r="13" spans="1:3" ht="15.75" thickBot="1">
      <c r="A13" s="274" t="s">
        <v>143</v>
      </c>
      <c r="B13" s="275"/>
      <c r="C13" s="276">
        <v>8.0000000000000002E-3</v>
      </c>
    </row>
    <row r="14" spans="1:3" ht="15.75" thickBot="1">
      <c r="A14" s="277"/>
      <c r="B14" s="278" t="s">
        <v>144</v>
      </c>
      <c r="C14" s="279">
        <f>SUM(C10:C13)</f>
        <v>7.3000000000000009E-2</v>
      </c>
    </row>
    <row r="15" spans="1:3" ht="15.75" thickBot="1">
      <c r="A15" s="2657" t="s">
        <v>145</v>
      </c>
      <c r="B15" s="2658"/>
      <c r="C15" s="267" t="s">
        <v>32</v>
      </c>
    </row>
    <row r="16" spans="1:3" ht="15.75" thickBot="1">
      <c r="A16" s="271" t="s">
        <v>146</v>
      </c>
      <c r="B16" s="272"/>
      <c r="C16" s="280">
        <v>7.3999999999999996E-2</v>
      </c>
    </row>
    <row r="17" spans="1:4" ht="15.75" thickBot="1">
      <c r="A17" s="277"/>
      <c r="B17" s="278" t="s">
        <v>144</v>
      </c>
      <c r="C17" s="279">
        <f>SUM(C16)</f>
        <v>7.3999999999999996E-2</v>
      </c>
    </row>
    <row r="18" spans="1:4" ht="15.75" thickBot="1">
      <c r="A18" s="2657"/>
      <c r="B18" s="2658"/>
      <c r="C18" s="279"/>
    </row>
    <row r="19" spans="1:4" ht="15.75" thickBot="1">
      <c r="A19" s="2657" t="s">
        <v>147</v>
      </c>
      <c r="B19" s="2658"/>
      <c r="C19" s="267" t="s">
        <v>32</v>
      </c>
    </row>
    <row r="20" spans="1:4">
      <c r="A20" s="271" t="s">
        <v>148</v>
      </c>
      <c r="B20" s="281"/>
      <c r="C20" s="273">
        <v>6.4999999999999997E-3</v>
      </c>
    </row>
    <row r="21" spans="1:4">
      <c r="A21" s="271" t="s">
        <v>149</v>
      </c>
      <c r="B21" s="281"/>
      <c r="C21" s="273">
        <v>0.03</v>
      </c>
    </row>
    <row r="22" spans="1:4" ht="15.75" thickBot="1">
      <c r="A22" s="271" t="s">
        <v>150</v>
      </c>
      <c r="B22" s="281"/>
      <c r="C22" s="273">
        <v>0.02</v>
      </c>
    </row>
    <row r="23" spans="1:4" ht="15.75" thickBot="1">
      <c r="A23" s="277"/>
      <c r="B23" s="278" t="s">
        <v>144</v>
      </c>
      <c r="C23" s="279">
        <f>SUM(C20:C22)</f>
        <v>5.6499999999999995E-2</v>
      </c>
    </row>
    <row r="24" spans="1:4" ht="15.75" thickBot="1">
      <c r="A24" s="277"/>
      <c r="B24" s="282"/>
      <c r="C24" s="283"/>
    </row>
    <row r="25" spans="1:4">
      <c r="A25" s="2659"/>
      <c r="B25" s="2660"/>
      <c r="C25" s="284"/>
      <c r="D25" s="303">
        <f>(1+C10+C12+C13)*(1+C11)*(1+C16)</f>
        <v>1.15320385914</v>
      </c>
    </row>
    <row r="26" spans="1:4" ht="25.5" customHeight="1" thickBot="1">
      <c r="A26" s="285"/>
      <c r="B26" s="286" t="s">
        <v>151</v>
      </c>
      <c r="C26" s="287">
        <f>(D25/D26)-1</f>
        <v>0.22226164190779008</v>
      </c>
      <c r="D26" s="303">
        <f>(1-C23)</f>
        <v>0.94350000000000001</v>
      </c>
    </row>
  </sheetData>
  <mergeCells count="9">
    <mergeCell ref="A18:B18"/>
    <mergeCell ref="A19:B19"/>
    <mergeCell ref="A25:B25"/>
    <mergeCell ref="A1:C1"/>
    <mergeCell ref="A2:C2"/>
    <mergeCell ref="A3:C3"/>
    <mergeCell ref="A5:C5"/>
    <mergeCell ref="A9:B9"/>
    <mergeCell ref="A15:B15"/>
  </mergeCell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tabSelected="1" workbookViewId="0">
      <selection activeCell="B10" sqref="B10:C10"/>
    </sheetView>
  </sheetViews>
  <sheetFormatPr defaultRowHeight="15"/>
  <cols>
    <col min="1" max="1" width="18.28515625" customWidth="1"/>
    <col min="2" max="2" width="15.85546875" customWidth="1"/>
    <col min="3" max="3" width="59.140625" customWidth="1"/>
    <col min="4" max="4" width="16.42578125" customWidth="1"/>
    <col min="5" max="6" width="11.28515625" customWidth="1"/>
    <col min="7" max="7" width="10.5703125" customWidth="1"/>
    <col min="8" max="8" width="12" customWidth="1"/>
    <col min="9" max="9" width="15" customWidth="1"/>
  </cols>
  <sheetData>
    <row r="1" spans="1:9" ht="13.5" customHeight="1">
      <c r="A1" s="75"/>
      <c r="B1" s="56"/>
      <c r="C1" s="44"/>
      <c r="D1" s="62"/>
      <c r="E1" s="115"/>
      <c r="F1" s="71"/>
      <c r="G1" s="71"/>
      <c r="H1" s="116"/>
      <c r="I1" s="59"/>
    </row>
    <row r="2" spans="1:9" ht="19.5" customHeight="1">
      <c r="A2" s="76"/>
      <c r="B2" s="71"/>
      <c r="C2" s="72"/>
      <c r="D2" s="73"/>
      <c r="E2" s="117"/>
      <c r="F2" s="73"/>
      <c r="G2" s="73"/>
      <c r="H2" s="59"/>
      <c r="I2" s="59"/>
    </row>
    <row r="3" spans="1:9" ht="18.75" customHeight="1">
      <c r="A3" s="1253"/>
      <c r="B3" s="1986" t="s">
        <v>127</v>
      </c>
      <c r="C3" s="1986"/>
      <c r="D3" s="1986"/>
      <c r="E3" s="1255"/>
      <c r="F3" s="73"/>
      <c r="G3" s="73"/>
      <c r="H3" s="59"/>
      <c r="I3" s="59"/>
    </row>
    <row r="4" spans="1:9" ht="15.75" customHeight="1">
      <c r="A4" s="1253"/>
      <c r="B4" s="2004" t="s">
        <v>128</v>
      </c>
      <c r="C4" s="2004"/>
      <c r="D4" s="2004"/>
      <c r="E4" s="1255"/>
      <c r="F4" s="74"/>
      <c r="G4" s="74"/>
      <c r="H4" s="59"/>
      <c r="I4" s="59"/>
    </row>
    <row r="5" spans="1:9" ht="15.75" customHeight="1">
      <c r="A5" s="63"/>
      <c r="B5" s="64"/>
      <c r="C5" s="1252" t="s">
        <v>204</v>
      </c>
      <c r="D5" s="70"/>
      <c r="E5" s="118"/>
      <c r="F5" s="70"/>
      <c r="G5" s="70"/>
      <c r="H5" s="59"/>
      <c r="I5" s="59"/>
    </row>
    <row r="6" spans="1:9" ht="17.25" customHeight="1">
      <c r="A6" s="63"/>
      <c r="B6" s="64"/>
      <c r="C6" s="69"/>
      <c r="D6" s="70"/>
      <c r="E6" s="118"/>
      <c r="F6" s="70"/>
      <c r="G6" s="70"/>
      <c r="H6" s="59"/>
      <c r="I6" s="59"/>
    </row>
    <row r="7" spans="1:9" ht="16.5" customHeight="1" thickBot="1">
      <c r="A7" s="65"/>
      <c r="B7" s="66"/>
      <c r="C7" s="67"/>
      <c r="D7" s="68"/>
      <c r="E7" s="119"/>
      <c r="F7" s="70"/>
      <c r="G7" s="70"/>
      <c r="H7" s="59"/>
      <c r="I7" s="59"/>
    </row>
    <row r="8" spans="1:9">
      <c r="A8" s="669" t="s">
        <v>0</v>
      </c>
      <c r="B8" s="2007" t="str">
        <f>'PLANILHA SEM DESON'!B7:C7</f>
        <v>364778/2019</v>
      </c>
      <c r="C8" s="2007"/>
      <c r="D8" s="670"/>
      <c r="E8" s="671"/>
    </row>
    <row r="9" spans="1:9" ht="30.75" customHeight="1">
      <c r="A9" s="35" t="str">
        <f>'PLANILHA SEM DESON'!A8</f>
        <v>OBRA:</v>
      </c>
      <c r="B9" s="2008" t="str">
        <f>'PLANILHA SEM DESON'!B8:C8</f>
        <v>CONSTRUÇÃO DE DIRETORIA DE UNIDADE DESCONCENTRADA DA SEMA - DUDS</v>
      </c>
      <c r="C9" s="2008"/>
      <c r="D9" s="662" t="str">
        <f>'PLANILHA SEM DESON'!H10</f>
        <v>Data:</v>
      </c>
      <c r="E9" s="663">
        <f>'PLANILHA SEM DESON'!I10</f>
        <v>44414</v>
      </c>
    </row>
    <row r="10" spans="1:9">
      <c r="A10" s="35" t="str">
        <f>'PLANILHA SEM DESON'!A9</f>
        <v>ENDEREÇO:</v>
      </c>
      <c r="B10" s="2009" t="str">
        <f>'PLANILHA SEM DESON'!B9:B9</f>
        <v>Rua Erichin, esquina com Rua Circular - Bairro Residencial Arco Íris</v>
      </c>
      <c r="C10" s="2010"/>
      <c r="D10" s="662" t="str">
        <f>'PLANILHA SEM DESON'!H11</f>
        <v>Prazo:</v>
      </c>
      <c r="E10" s="668" t="str">
        <f>'PLANILHA SEM DESON'!I11</f>
        <v>120 dias</v>
      </c>
    </row>
    <row r="11" spans="1:9">
      <c r="A11" s="35" t="str">
        <f>'PLANILHA SEM DESON'!A10</f>
        <v>MUNICÍPIO:</v>
      </c>
      <c r="B11" s="2009" t="str">
        <f>'PLANILHA SEM DESON'!B10:C10</f>
        <v>CONFRESA - MT</v>
      </c>
      <c r="C11" s="2010"/>
      <c r="D11" s="662" t="str">
        <f>'PLANILHA SEM DESON'!H9</f>
        <v>BDI:</v>
      </c>
      <c r="E11" s="886">
        <f>'PLANILHA SEM DESON'!I9</f>
        <v>0.2223</v>
      </c>
    </row>
    <row r="12" spans="1:9" ht="15.75" customHeight="1" thickBot="1">
      <c r="A12" s="664" t="str">
        <f>'PLANILHA SEM DESON'!A11</f>
        <v>ASSUNTO:</v>
      </c>
      <c r="B12" s="2011" t="str">
        <f>'PLANILHA SEM DESON'!B11</f>
        <v xml:space="preserve">CONSTRUÇÃO </v>
      </c>
      <c r="C12" s="2012"/>
      <c r="D12" s="665"/>
      <c r="E12" s="666"/>
    </row>
    <row r="13" spans="1:9" ht="6.75" customHeight="1" thickBot="1">
      <c r="A13" s="550"/>
      <c r="B13" s="550"/>
      <c r="C13" s="5"/>
      <c r="D13" s="34"/>
      <c r="E13" s="34"/>
    </row>
    <row r="14" spans="1:9" ht="16.5" thickBot="1">
      <c r="A14" s="2013" t="s">
        <v>28</v>
      </c>
      <c r="B14" s="2014"/>
      <c r="C14" s="2014"/>
      <c r="D14" s="2014"/>
      <c r="E14" s="2015"/>
    </row>
    <row r="15" spans="1:9" ht="13.5" customHeight="1">
      <c r="A15" s="674" t="s">
        <v>29</v>
      </c>
      <c r="B15" s="2016" t="s">
        <v>30</v>
      </c>
      <c r="C15" s="2017"/>
      <c r="D15" s="675" t="s">
        <v>31</v>
      </c>
      <c r="E15" s="676" t="s">
        <v>32</v>
      </c>
    </row>
    <row r="16" spans="1:9" ht="15.75">
      <c r="A16" s="155">
        <f>'PLANILHA SEM DESON'!A14</f>
        <v>1</v>
      </c>
      <c r="B16" s="2018" t="str">
        <f>'PLANILHA SEM DESON'!C14</f>
        <v>ADMINISTRAÇÃO LOCAL</v>
      </c>
      <c r="C16" s="2019"/>
      <c r="D16" s="6">
        <f>'PLANILHA SEM DESON'!I16</f>
        <v>25326.83</v>
      </c>
      <c r="E16" s="7">
        <f t="shared" ref="E16:E38" si="0">(D16/$D$38)*100</f>
        <v>1.6110970888469107</v>
      </c>
    </row>
    <row r="17" spans="1:5" ht="15.75">
      <c r="A17" s="155">
        <f>'PLANILHA SEM DESON'!A17</f>
        <v>2</v>
      </c>
      <c r="B17" s="2005" t="str">
        <f>'PLANILHA SEM DESON'!C17</f>
        <v>SERVIÇO PRELIMINARES</v>
      </c>
      <c r="C17" s="2006"/>
      <c r="D17" s="6">
        <f>'PLANILHA SEM DESON'!I33</f>
        <v>129397.46</v>
      </c>
      <c r="E17" s="7">
        <f t="shared" si="0"/>
        <v>8.2312658595720265</v>
      </c>
    </row>
    <row r="18" spans="1:5" ht="15.75">
      <c r="A18" s="155">
        <f>'PLANILHA SEM DESON'!A34</f>
        <v>3</v>
      </c>
      <c r="B18" s="2005" t="str">
        <f>'PLANILHA SEM DESON'!C34</f>
        <v>MOVIMENTO DE TERRA</v>
      </c>
      <c r="C18" s="2020"/>
      <c r="D18" s="6">
        <f>'PLANILHA SEM DESON'!I38</f>
        <v>32842.89</v>
      </c>
      <c r="E18" s="7">
        <f t="shared" si="0"/>
        <v>2.0892107092881069</v>
      </c>
    </row>
    <row r="19" spans="1:5" ht="15.75">
      <c r="A19" s="677">
        <f>'PLANILHA SEM DESON'!A39</f>
        <v>4</v>
      </c>
      <c r="B19" s="2032" t="str">
        <f>'PLANILHA SEM DESON'!C39</f>
        <v>ESTRUTURA EM CONCRETO ARMADO</v>
      </c>
      <c r="C19" s="2033"/>
      <c r="D19" s="678">
        <f>'PLANILHA SEM DESON'!I93</f>
        <v>216484.34</v>
      </c>
      <c r="E19" s="7">
        <f t="shared" si="0"/>
        <v>13.771059779488581</v>
      </c>
    </row>
    <row r="20" spans="1:5" ht="16.5" customHeight="1">
      <c r="A20" s="156">
        <f>'PLANILHA SEM DESON'!A94</f>
        <v>5</v>
      </c>
      <c r="B20" s="2005" t="str">
        <f>'PLANILHA SEM DESON'!C94</f>
        <v>FECHAMENTOS EM ALVENARIA</v>
      </c>
      <c r="C20" s="2006"/>
      <c r="D20" s="33">
        <f>'PLANILHA SEM DESON'!I106</f>
        <v>66105.05</v>
      </c>
      <c r="E20" s="7">
        <f t="shared" si="0"/>
        <v>4.2050921340364926</v>
      </c>
    </row>
    <row r="21" spans="1:5" ht="16.5" customHeight="1">
      <c r="A21" s="156">
        <f>'PLANILHA SEM DESON'!A107</f>
        <v>6</v>
      </c>
      <c r="B21" s="2005" t="str">
        <f>'PLANILHA SEM DESON'!C107</f>
        <v>REVESTIMENTO DE PISO</v>
      </c>
      <c r="C21" s="2006"/>
      <c r="D21" s="33">
        <f>'PLANILHA SEM DESON'!I115</f>
        <v>63895.95</v>
      </c>
      <c r="E21" s="7">
        <f t="shared" si="0"/>
        <v>4.0645662735568466</v>
      </c>
    </row>
    <row r="22" spans="1:5" ht="16.5" customHeight="1">
      <c r="A22" s="156">
        <f>'PLANILHA SEM DESON'!A116</f>
        <v>7</v>
      </c>
      <c r="B22" s="2005" t="str">
        <f>'PLANILHA SEM DESON'!C116</f>
        <v>REVESTIMENTO DE PAREDE</v>
      </c>
      <c r="C22" s="2006"/>
      <c r="D22" s="33">
        <f>'PLANILHA SEM DESON'!I127</f>
        <v>80010</v>
      </c>
      <c r="E22" s="7">
        <f t="shared" si="0"/>
        <v>5.0896175351846766</v>
      </c>
    </row>
    <row r="23" spans="1:5" ht="15.75">
      <c r="A23" s="156">
        <f>'PLANILHA SEM DESON'!A128</f>
        <v>8</v>
      </c>
      <c r="B23" s="2005" t="str">
        <f>'PLANILHA SEM DESON'!C128</f>
        <v>ESQUADRIAS</v>
      </c>
      <c r="C23" s="2006"/>
      <c r="D23" s="33">
        <f>'PLANILHA SEM DESON'!I144</f>
        <v>70104.31</v>
      </c>
      <c r="E23" s="7">
        <f t="shared" si="0"/>
        <v>4.459494131583833</v>
      </c>
    </row>
    <row r="24" spans="1:5" ht="15.75" customHeight="1">
      <c r="A24" s="156">
        <f>'PLANILHA SEM DESON'!A145</f>
        <v>9</v>
      </c>
      <c r="B24" s="2005" t="str">
        <f>'PLANILHA SEM DESON'!C145</f>
        <v>PINTURA</v>
      </c>
      <c r="C24" s="2006"/>
      <c r="D24" s="33">
        <f>'PLANILHA SEM DESON'!I158</f>
        <v>43568.11</v>
      </c>
      <c r="E24" s="7">
        <f t="shared" si="0"/>
        <v>2.7714662746013605</v>
      </c>
    </row>
    <row r="25" spans="1:5" ht="15.75" customHeight="1">
      <c r="A25" s="156">
        <f>'PLANILHA SEM DESON'!A159</f>
        <v>10</v>
      </c>
      <c r="B25" s="2005" t="str">
        <f>'PLANILHA SEM DESON'!C159</f>
        <v xml:space="preserve">COBERTURA </v>
      </c>
      <c r="C25" s="2006"/>
      <c r="D25" s="33">
        <f>'PLANILHA SEM DESON'!I167</f>
        <v>123412.69</v>
      </c>
      <c r="E25" s="7">
        <f t="shared" si="0"/>
        <v>7.8505610684703244</v>
      </c>
    </row>
    <row r="26" spans="1:5" ht="15.75">
      <c r="A26" s="156">
        <f>'PLANILHA SEM DESON'!A168</f>
        <v>11</v>
      </c>
      <c r="B26" s="2005" t="str">
        <f>'PLANILHA SEM DESON'!C168</f>
        <v>INSTALAÇÕES ELÉTRICAS</v>
      </c>
      <c r="C26" s="2006"/>
      <c r="D26" s="33">
        <f>'PLANILHA SEM DESON'!I221</f>
        <v>34919.25</v>
      </c>
      <c r="E26" s="7">
        <f t="shared" si="0"/>
        <v>2.2212926773590489</v>
      </c>
    </row>
    <row r="27" spans="1:5" ht="15.75">
      <c r="A27" s="156" t="str">
        <f>'PLANILHA SEM DESON'!A222</f>
        <v>11.2</v>
      </c>
      <c r="B27" s="2005" t="str">
        <f>'PLANILHA SEM DESON'!C222</f>
        <v xml:space="preserve">CABEAMENTO ESTRUTURADO </v>
      </c>
      <c r="C27" s="2006"/>
      <c r="D27" s="33">
        <f>'PLANILHA SEM DESON'!I251</f>
        <v>20320.37</v>
      </c>
      <c r="E27" s="7">
        <f t="shared" si="0"/>
        <v>1.2926248153160935</v>
      </c>
    </row>
    <row r="28" spans="1:5" ht="15.75">
      <c r="A28" s="156">
        <f>'PLANILHA SEM DESON'!A252</f>
        <v>12</v>
      </c>
      <c r="B28" s="2005" t="str">
        <f>'PLANILHA SEM DESON'!C252</f>
        <v>SPDA</v>
      </c>
      <c r="C28" s="2006"/>
      <c r="D28" s="33">
        <f>'PLANILHA SEM DESON'!I261</f>
        <v>20130.47</v>
      </c>
      <c r="E28" s="7">
        <f t="shared" si="0"/>
        <v>1.2805448456881525</v>
      </c>
    </row>
    <row r="29" spans="1:5" ht="15.75">
      <c r="A29" s="156">
        <f>'PLANILHA SEM DESON'!A262</f>
        <v>13</v>
      </c>
      <c r="B29" s="2005" t="str">
        <f>'PLANILHA SEM DESON'!C262</f>
        <v>INSTALAÇÕES HIDRÁULICAS</v>
      </c>
      <c r="C29" s="2006"/>
      <c r="D29" s="33">
        <f>'PLANILHA SEM DESON'!I292</f>
        <v>13892.91</v>
      </c>
      <c r="E29" s="7">
        <f t="shared" si="0"/>
        <v>0.88375950944560111</v>
      </c>
    </row>
    <row r="30" spans="1:5" ht="15.75">
      <c r="A30" s="156">
        <f>'PLANILHA SEM DESON'!A293</f>
        <v>14</v>
      </c>
      <c r="B30" s="2005" t="str">
        <f>'PLANILHA SEM DESON'!C293</f>
        <v>APARELHOS E METAIS</v>
      </c>
      <c r="C30" s="2006"/>
      <c r="D30" s="33">
        <f>'PLANILHA SEM DESON'!I309</f>
        <v>8053.75</v>
      </c>
      <c r="E30" s="7">
        <f t="shared" si="0"/>
        <v>0.51231730063734016</v>
      </c>
    </row>
    <row r="31" spans="1:5" ht="15.75">
      <c r="A31" s="156" t="str">
        <f>'PLANILHA SEM DESON'!A311</f>
        <v>15.1</v>
      </c>
      <c r="B31" s="2005" t="str">
        <f>'PLANILHA SEM DESON'!C311</f>
        <v>SERVIÇOS DE INSTALAÇÕES SANITÁRIAS</v>
      </c>
      <c r="C31" s="2006"/>
      <c r="D31" s="33">
        <f>'PLANILHA SEM DESON'!I338</f>
        <v>7149.39</v>
      </c>
      <c r="E31" s="7">
        <f t="shared" si="0"/>
        <v>0.45478891025964219</v>
      </c>
    </row>
    <row r="32" spans="1:5" ht="15.75">
      <c r="A32" s="156" t="str">
        <f>'PLANILHA SEM DESON'!A340</f>
        <v>15.2.1</v>
      </c>
      <c r="B32" s="2005" t="str">
        <f>'PLANILHA SEM DESON'!C340</f>
        <v xml:space="preserve">SUMIDOURO CIRCULAR, EM ALVENARIA COM TIJOLOS CERÂMICOS MACIÇOS, DIMENSÕES INTERNAS: DIAMETRO 2,84 M, ALTURA 3,00 M, ÁREA DE INFILTRAÇÃO: 132,40 M² </v>
      </c>
      <c r="C32" s="2006"/>
      <c r="D32" s="33">
        <f>'PLANILHA SEM DESON'!I351</f>
        <v>5530.67</v>
      </c>
      <c r="E32" s="7">
        <f t="shared" si="0"/>
        <v>0.35181846035895309</v>
      </c>
    </row>
    <row r="33" spans="1:9" ht="15.75">
      <c r="A33" s="156" t="str">
        <f>'PLANILHA SEM DESON'!A352</f>
        <v>15.2.2</v>
      </c>
      <c r="B33" s="2005" t="str">
        <f>'PLANILHA SEM DESON'!C352</f>
        <v>FOSSA SÉPTICA E FILTRO ANAERÓBIO CONJUGADO EM BLOCO DE CONCRETO</v>
      </c>
      <c r="C33" s="2006"/>
      <c r="D33" s="33">
        <f>'PLANILHA SEM DESON'!I365</f>
        <v>8803.42</v>
      </c>
      <c r="E33" s="7">
        <f t="shared" si="0"/>
        <v>0.56000550933127724</v>
      </c>
    </row>
    <row r="34" spans="1:9" ht="15.75">
      <c r="A34" s="156">
        <f>'PLANILHA SEM DESON'!A366</f>
        <v>16</v>
      </c>
      <c r="B34" s="2005" t="str">
        <f>'PLANILHA SEM DESON'!C366</f>
        <v xml:space="preserve">BANCADAS, RODABANCADAS, DIVISÓRIAS E REQUADRO EM GRANITO </v>
      </c>
      <c r="C34" s="2006"/>
      <c r="D34" s="33">
        <f>'PLANILHA SEM DESON'!I373</f>
        <v>7087.79</v>
      </c>
      <c r="E34" s="7">
        <f t="shared" si="0"/>
        <v>0.450870394572011</v>
      </c>
    </row>
    <row r="35" spans="1:9" ht="15.75">
      <c r="A35" s="156">
        <f>'PLANILHA SEM DESON'!A374</f>
        <v>17</v>
      </c>
      <c r="B35" s="2005" t="str">
        <f>'PLANILHA SEM DESON'!C374</f>
        <v>MURETA COM GRADIL</v>
      </c>
      <c r="C35" s="2006"/>
      <c r="D35" s="33">
        <f>'PLANILHA SEM DESON'!I409</f>
        <v>385795.86000000004</v>
      </c>
      <c r="E35" s="7">
        <f t="shared" si="0"/>
        <v>24.54134950703228</v>
      </c>
    </row>
    <row r="36" spans="1:9" ht="15.75">
      <c r="A36" s="156">
        <f>'PLANILHA SEM DESON'!A410</f>
        <v>18</v>
      </c>
      <c r="B36" s="2005" t="str">
        <f>'PLANILHA SEM DESON'!C410</f>
        <v>SERVIÇOS CONSTRUTIVOS COMPLEMENTARES</v>
      </c>
      <c r="C36" s="2006"/>
      <c r="D36" s="33">
        <f>'PLANILHA SEM DESON'!I424</f>
        <v>207133.44</v>
      </c>
      <c r="E36" s="7">
        <f t="shared" si="0"/>
        <v>13.176227825860806</v>
      </c>
    </row>
    <row r="37" spans="1:9" ht="15.75">
      <c r="A37" s="156">
        <f>'PLANILHA SEM DESON'!A425</f>
        <v>19</v>
      </c>
      <c r="B37" s="2005" t="str">
        <f>'PLANILHA SEM DESON'!C425</f>
        <v>LIMPEZA GERAL</v>
      </c>
      <c r="C37" s="2006"/>
      <c r="D37" s="33">
        <f>'PLANILHA SEM DESON'!I429</f>
        <v>2058.87</v>
      </c>
      <c r="E37" s="7">
        <f t="shared" si="0"/>
        <v>0.13096938950963224</v>
      </c>
    </row>
    <row r="38" spans="1:9" ht="15.75">
      <c r="A38" s="2029" t="s">
        <v>26</v>
      </c>
      <c r="B38" s="2030"/>
      <c r="C38" s="2031"/>
      <c r="D38" s="8">
        <f>TRUNC(SUM(D16:D37),2)</f>
        <v>1572023.82</v>
      </c>
      <c r="E38" s="7">
        <f t="shared" si="0"/>
        <v>100</v>
      </c>
    </row>
    <row r="39" spans="1:9" ht="15.75">
      <c r="A39" s="2025"/>
      <c r="B39" s="2026"/>
      <c r="C39" s="48" t="s">
        <v>33</v>
      </c>
      <c r="D39" s="2027">
        <f>D38</f>
        <v>1572023.82</v>
      </c>
      <c r="E39" s="2028"/>
    </row>
    <row r="40" spans="1:9" ht="13.5" customHeight="1" thickBot="1">
      <c r="A40" s="673"/>
      <c r="B40" s="2023" t="str">
        <f>'PLANILHA SEM DESON'!B432:I432</f>
        <v>hum milhão, quinhentos e setenta e dois mil, vinte e três reais e oitenta e dois centavos</v>
      </c>
      <c r="C40" s="2023"/>
      <c r="D40" s="2023"/>
      <c r="E40" s="2024"/>
    </row>
    <row r="41" spans="1:9" ht="42.75" customHeight="1" thickBot="1">
      <c r="A41" s="2021" t="s">
        <v>46</v>
      </c>
      <c r="B41" s="2022"/>
      <c r="C41" s="2002" t="s">
        <v>183</v>
      </c>
      <c r="D41" s="2002"/>
      <c r="E41" s="2003"/>
      <c r="F41" s="299"/>
      <c r="G41" s="133"/>
      <c r="H41" s="133"/>
      <c r="I41" s="46"/>
    </row>
  </sheetData>
  <mergeCells count="37">
    <mergeCell ref="B19:C19"/>
    <mergeCell ref="B21:C21"/>
    <mergeCell ref="B20:C20"/>
    <mergeCell ref="B22:C22"/>
    <mergeCell ref="B25:C25"/>
    <mergeCell ref="B24:C24"/>
    <mergeCell ref="B31:C31"/>
    <mergeCell ref="B32:C32"/>
    <mergeCell ref="B33:C33"/>
    <mergeCell ref="B23:C23"/>
    <mergeCell ref="B26:C26"/>
    <mergeCell ref="B28:C28"/>
    <mergeCell ref="B30:C30"/>
    <mergeCell ref="A41:B41"/>
    <mergeCell ref="B36:C36"/>
    <mergeCell ref="B37:C37"/>
    <mergeCell ref="C41:E41"/>
    <mergeCell ref="B40:E40"/>
    <mergeCell ref="A39:B39"/>
    <mergeCell ref="D39:E39"/>
    <mergeCell ref="A38:C38"/>
    <mergeCell ref="B3:D3"/>
    <mergeCell ref="B4:D4"/>
    <mergeCell ref="B34:C34"/>
    <mergeCell ref="B35:C35"/>
    <mergeCell ref="B8:C8"/>
    <mergeCell ref="B9:C9"/>
    <mergeCell ref="B10:C10"/>
    <mergeCell ref="B11:C11"/>
    <mergeCell ref="B12:C12"/>
    <mergeCell ref="A14:E14"/>
    <mergeCell ref="B15:C15"/>
    <mergeCell ref="B27:C27"/>
    <mergeCell ref="B29:C29"/>
    <mergeCell ref="B16:C16"/>
    <mergeCell ref="B18:C18"/>
    <mergeCell ref="B17:C17"/>
  </mergeCells>
  <printOptions horizontalCentered="1"/>
  <pageMargins left="0.78740157480314965" right="0.59055118110236227" top="1.1811023622047245" bottom="0.98425196850393704" header="0.31496062992125984" footer="0.3149606299212598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8"/>
  <sheetViews>
    <sheetView topLeftCell="A213" zoomScale="90" zoomScaleNormal="90" workbookViewId="0">
      <selection activeCell="E223" sqref="E223:E428"/>
    </sheetView>
  </sheetViews>
  <sheetFormatPr defaultRowHeight="15"/>
  <cols>
    <col min="1" max="1" width="16.42578125" customWidth="1"/>
    <col min="2" max="2" width="15.85546875" customWidth="1"/>
    <col min="3" max="3" width="80" customWidth="1"/>
    <col min="5" max="5" width="11.140625" customWidth="1"/>
    <col min="6" max="6" width="11.5703125" customWidth="1"/>
    <col min="7" max="7" width="9.140625" hidden="1" customWidth="1"/>
    <col min="8" max="8" width="11.28515625" customWidth="1"/>
    <col min="9" max="9" width="13" customWidth="1"/>
    <col min="10" max="10" width="17" customWidth="1"/>
    <col min="11" max="11" width="34.140625" customWidth="1"/>
    <col min="12" max="12" width="35" customWidth="1"/>
    <col min="13" max="13" width="9.5703125" customWidth="1"/>
    <col min="14" max="14" width="10.85546875" customWidth="1"/>
    <col min="15" max="15" width="10" customWidth="1"/>
  </cols>
  <sheetData>
    <row r="1" spans="1:11" ht="21" customHeight="1">
      <c r="A1" s="75"/>
      <c r="B1" s="56"/>
      <c r="C1" s="44"/>
      <c r="D1" s="62"/>
      <c r="E1" s="62"/>
      <c r="F1" s="56"/>
      <c r="G1" s="56"/>
      <c r="H1" s="57"/>
      <c r="I1" s="58"/>
    </row>
    <row r="2" spans="1:11" ht="15.75">
      <c r="A2" s="1256"/>
      <c r="B2" s="59"/>
      <c r="C2" s="239"/>
      <c r="D2" s="239"/>
      <c r="E2" s="239"/>
      <c r="F2" s="239"/>
      <c r="G2" s="239"/>
      <c r="H2" s="239"/>
      <c r="I2" s="60"/>
    </row>
    <row r="3" spans="1:11" ht="17.25" customHeight="1">
      <c r="A3" s="1256"/>
      <c r="B3" s="59"/>
      <c r="C3" s="1986" t="s">
        <v>127</v>
      </c>
      <c r="D3" s="1986"/>
      <c r="E3" s="1986"/>
      <c r="F3" s="1986"/>
      <c r="G3" s="239"/>
      <c r="H3" s="239"/>
      <c r="I3" s="60"/>
    </row>
    <row r="4" spans="1:11" ht="18" customHeight="1">
      <c r="A4" s="1256"/>
      <c r="B4" s="59"/>
      <c r="C4" s="2004" t="s">
        <v>128</v>
      </c>
      <c r="D4" s="2004"/>
      <c r="E4" s="2004"/>
      <c r="F4" s="2004"/>
      <c r="G4" s="1254"/>
      <c r="H4" s="1254"/>
      <c r="I4" s="60"/>
    </row>
    <row r="5" spans="1:11" ht="16.5" customHeight="1">
      <c r="A5" s="1256"/>
      <c r="B5" s="59"/>
      <c r="C5" s="2004" t="s">
        <v>204</v>
      </c>
      <c r="D5" s="2004"/>
      <c r="E5" s="2004"/>
      <c r="F5" s="2004"/>
      <c r="G5" s="1254"/>
      <c r="H5" s="1254"/>
      <c r="I5" s="60"/>
    </row>
    <row r="6" spans="1:11" ht="17.25" customHeight="1" thickBot="1">
      <c r="A6" s="245"/>
      <c r="B6" s="1257"/>
      <c r="C6" s="1257"/>
      <c r="D6" s="1257"/>
      <c r="E6" s="1257"/>
      <c r="F6" s="1257"/>
      <c r="G6" s="1257"/>
      <c r="H6" s="1257"/>
      <c r="I6" s="139"/>
    </row>
    <row r="7" spans="1:11" ht="17.25" customHeight="1">
      <c r="A7" s="553" t="s">
        <v>0</v>
      </c>
      <c r="B7" s="2007" t="s">
        <v>609</v>
      </c>
      <c r="C7" s="2007"/>
      <c r="D7" s="77"/>
      <c r="E7" s="78"/>
      <c r="F7" s="77"/>
      <c r="G7" s="79"/>
      <c r="H7" s="2034"/>
      <c r="I7" s="106"/>
    </row>
    <row r="8" spans="1:11">
      <c r="A8" s="554" t="s">
        <v>1</v>
      </c>
      <c r="B8" s="2008" t="s">
        <v>1099</v>
      </c>
      <c r="C8" s="2008"/>
      <c r="D8" s="1"/>
      <c r="E8" s="2"/>
      <c r="F8" s="1"/>
      <c r="G8" s="550"/>
      <c r="H8" s="2035"/>
      <c r="I8" s="313"/>
    </row>
    <row r="9" spans="1:11">
      <c r="A9" s="554" t="s">
        <v>2</v>
      </c>
      <c r="B9" s="2008" t="s">
        <v>2197</v>
      </c>
      <c r="C9" s="2008"/>
      <c r="D9" s="1"/>
      <c r="E9" s="2"/>
      <c r="F9" s="1"/>
      <c r="G9" s="550"/>
      <c r="H9" s="558" t="s">
        <v>3</v>
      </c>
      <c r="I9" s="559">
        <v>0.2223</v>
      </c>
    </row>
    <row r="10" spans="1:11">
      <c r="A10" s="554" t="s">
        <v>4</v>
      </c>
      <c r="B10" s="2008" t="s">
        <v>1711</v>
      </c>
      <c r="C10" s="2008"/>
      <c r="D10" s="1"/>
      <c r="E10" s="2"/>
      <c r="F10" s="1"/>
      <c r="G10" s="550"/>
      <c r="H10" s="560" t="s">
        <v>5</v>
      </c>
      <c r="I10" s="1565">
        <v>44414</v>
      </c>
    </row>
    <row r="11" spans="1:11" ht="16.5" thickBot="1">
      <c r="A11" s="555" t="s">
        <v>6</v>
      </c>
      <c r="B11" s="556" t="s">
        <v>600</v>
      </c>
      <c r="C11" s="557" t="s">
        <v>1100</v>
      </c>
      <c r="D11" s="235"/>
      <c r="E11" s="41"/>
      <c r="F11" s="42"/>
      <c r="G11" s="43"/>
      <c r="H11" s="561" t="s">
        <v>44</v>
      </c>
      <c r="I11" s="562" t="s">
        <v>1303</v>
      </c>
    </row>
    <row r="12" spans="1:11" ht="3.75" customHeight="1" thickBot="1"/>
    <row r="13" spans="1:11" ht="30.75" thickBot="1">
      <c r="A13" s="617" t="s">
        <v>7</v>
      </c>
      <c r="B13" s="616" t="s">
        <v>8</v>
      </c>
      <c r="C13" s="618" t="s">
        <v>9</v>
      </c>
      <c r="D13" s="616" t="s">
        <v>10</v>
      </c>
      <c r="E13" s="619" t="s">
        <v>11</v>
      </c>
      <c r="F13" s="616" t="s">
        <v>12</v>
      </c>
      <c r="G13" s="620" t="s">
        <v>12</v>
      </c>
      <c r="H13" s="620" t="s">
        <v>2500</v>
      </c>
      <c r="I13" s="621" t="s">
        <v>13</v>
      </c>
      <c r="K13" s="236"/>
    </row>
    <row r="14" spans="1:11">
      <c r="A14" s="622">
        <v>1</v>
      </c>
      <c r="B14" s="623"/>
      <c r="C14" s="624" t="s">
        <v>176</v>
      </c>
      <c r="D14" s="625"/>
      <c r="E14" s="626"/>
      <c r="F14" s="625"/>
      <c r="G14" s="627"/>
      <c r="H14" s="627"/>
      <c r="I14" s="628"/>
      <c r="J14" s="850"/>
      <c r="K14" s="850"/>
    </row>
    <row r="15" spans="1:11">
      <c r="A15" s="207" t="s">
        <v>15</v>
      </c>
      <c r="B15" s="152" t="s">
        <v>125</v>
      </c>
      <c r="C15" s="153" t="s">
        <v>117</v>
      </c>
      <c r="D15" s="200" t="s">
        <v>57</v>
      </c>
      <c r="E15" s="1953">
        <v>20720.64</v>
      </c>
      <c r="F15" s="353">
        <f>IF(OR(E15&lt;=0)," ",TRUNC(G15,2))</f>
        <v>1</v>
      </c>
      <c r="G15" s="351">
        <v>1</v>
      </c>
      <c r="H15" s="354">
        <f>IF(OR(E15&lt;=0)," ",TRUNC((E15*(1+$I$9)),2))</f>
        <v>25326.83</v>
      </c>
      <c r="I15" s="171">
        <f>IF(OR(E15&lt;=0)," ",TRUNC((H15*F15),2))</f>
        <v>25326.83</v>
      </c>
      <c r="J15" s="203">
        <f>'COMP CIVIL'!F20</f>
        <v>20720.64</v>
      </c>
      <c r="K15" s="237"/>
    </row>
    <row r="16" spans="1:11" ht="15.75" thickBot="1">
      <c r="A16" s="172"/>
      <c r="B16" s="173"/>
      <c r="C16" s="174"/>
      <c r="D16" s="175"/>
      <c r="E16" s="953"/>
      <c r="F16" s="954"/>
      <c r="G16" s="955"/>
      <c r="H16" s="956" t="s">
        <v>16</v>
      </c>
      <c r="I16" s="178">
        <f>TRUNC(SUM(I15:I15),2)</f>
        <v>25326.83</v>
      </c>
      <c r="J16" s="45"/>
      <c r="K16" s="237"/>
    </row>
    <row r="17" spans="1:15">
      <c r="A17" s="622">
        <v>2</v>
      </c>
      <c r="B17" s="623"/>
      <c r="C17" s="624" t="s">
        <v>14</v>
      </c>
      <c r="D17" s="625"/>
      <c r="E17" s="957"/>
      <c r="F17" s="958"/>
      <c r="G17" s="959"/>
      <c r="H17" s="959"/>
      <c r="I17" s="628"/>
      <c r="J17" s="850"/>
      <c r="K17" s="836" t="s">
        <v>919</v>
      </c>
    </row>
    <row r="18" spans="1:15" ht="20.25" customHeight="1">
      <c r="A18" s="207" t="s">
        <v>17</v>
      </c>
      <c r="B18" s="152" t="s">
        <v>130</v>
      </c>
      <c r="C18" s="153" t="s">
        <v>47</v>
      </c>
      <c r="D18" s="200" t="s">
        <v>48</v>
      </c>
      <c r="E18" s="1953">
        <v>315.95</v>
      </c>
      <c r="F18" s="353">
        <f>IF(OR(E18&lt;=0)," ",TRUNC(G18,2))</f>
        <v>12.5</v>
      </c>
      <c r="G18" s="351">
        <v>12.5</v>
      </c>
      <c r="H18" s="354">
        <f>IF(OR(E18&lt;=0)," ",TRUNC((E18*(1+$I$9)),2))</f>
        <v>386.18</v>
      </c>
      <c r="I18" s="171">
        <f>IF(OR(E18&lt;=0)," ",TRUNC((H18*F18),2))</f>
        <v>4827.25</v>
      </c>
      <c r="J18" s="203">
        <f>'COMP CIVIL'!F37</f>
        <v>315.95</v>
      </c>
      <c r="K18" s="409"/>
    </row>
    <row r="19" spans="1:15" ht="46.5" customHeight="1">
      <c r="A19" s="207" t="s">
        <v>18</v>
      </c>
      <c r="B19" s="152">
        <v>98525</v>
      </c>
      <c r="C19" s="1660" t="s">
        <v>342</v>
      </c>
      <c r="D19" s="200" t="s">
        <v>48</v>
      </c>
      <c r="E19" s="1953">
        <v>0.26</v>
      </c>
      <c r="F19" s="353">
        <f t="shared" ref="F19:F32" si="0">IF(OR(E19&lt;=0)," ",TRUNC(G19,2))</f>
        <v>1570</v>
      </c>
      <c r="G19" s="699">
        <v>1570</v>
      </c>
      <c r="H19" s="354">
        <f t="shared" ref="H19:H32" si="1">IF(OR(E19&lt;=0)," ",TRUNC((E19*(1+$I$9)),2))</f>
        <v>0.31</v>
      </c>
      <c r="I19" s="171">
        <f t="shared" ref="I19:I32" si="2">IF(OR(E19&lt;=0)," ",TRUNC((H19*F19),2))</f>
        <v>486.7</v>
      </c>
      <c r="J19" s="45"/>
      <c r="K19" s="237"/>
    </row>
    <row r="20" spans="1:15" ht="45.75" customHeight="1">
      <c r="A20" s="207" t="s">
        <v>70</v>
      </c>
      <c r="B20" s="152">
        <v>100981</v>
      </c>
      <c r="C20" s="153" t="s">
        <v>1211</v>
      </c>
      <c r="D20" s="200" t="s">
        <v>49</v>
      </c>
      <c r="E20" s="1953">
        <v>6.13</v>
      </c>
      <c r="F20" s="353">
        <f t="shared" si="0"/>
        <v>190.4</v>
      </c>
      <c r="G20" s="351">
        <v>190.4</v>
      </c>
      <c r="H20" s="354">
        <f t="shared" si="1"/>
        <v>7.49</v>
      </c>
      <c r="I20" s="171">
        <f t="shared" si="2"/>
        <v>1426.09</v>
      </c>
      <c r="J20" s="1122">
        <f>1570*0.2*0.4+12.08*0.4+40.02+19.95</f>
        <v>190.40200000000002</v>
      </c>
      <c r="K20" s="986" t="s">
        <v>2255</v>
      </c>
      <c r="L20" s="132"/>
    </row>
    <row r="21" spans="1:15" ht="33" customHeight="1">
      <c r="A21" s="207" t="s">
        <v>121</v>
      </c>
      <c r="B21" s="152">
        <v>97914</v>
      </c>
      <c r="C21" s="153" t="s">
        <v>1212</v>
      </c>
      <c r="D21" s="200" t="s">
        <v>1213</v>
      </c>
      <c r="E21" s="1953">
        <v>1.98</v>
      </c>
      <c r="F21" s="353">
        <f t="shared" si="0"/>
        <v>5712</v>
      </c>
      <c r="G21" s="351">
        <v>5712</v>
      </c>
      <c r="H21" s="354">
        <f t="shared" si="1"/>
        <v>2.42</v>
      </c>
      <c r="I21" s="171">
        <f t="shared" si="2"/>
        <v>13823.04</v>
      </c>
      <c r="J21" s="885" t="s">
        <v>2459</v>
      </c>
      <c r="K21" s="2052" t="s">
        <v>2460</v>
      </c>
      <c r="L21" s="2052"/>
      <c r="M21" s="2042"/>
      <c r="N21" s="2042"/>
      <c r="O21" s="2042"/>
    </row>
    <row r="22" spans="1:15" ht="18" customHeight="1">
      <c r="A22" s="207" t="s">
        <v>192</v>
      </c>
      <c r="B22" s="165">
        <v>98459</v>
      </c>
      <c r="C22" s="355" t="s">
        <v>343</v>
      </c>
      <c r="D22" s="200" t="s">
        <v>48</v>
      </c>
      <c r="E22" s="1953">
        <v>80.7</v>
      </c>
      <c r="F22" s="353">
        <f t="shared" si="0"/>
        <v>394.96</v>
      </c>
      <c r="G22" s="699">
        <v>394.96</v>
      </c>
      <c r="H22" s="354">
        <f t="shared" si="1"/>
        <v>98.63</v>
      </c>
      <c r="I22" s="171">
        <f t="shared" si="2"/>
        <v>38954.9</v>
      </c>
      <c r="J22" s="378"/>
      <c r="K22" s="378"/>
    </row>
    <row r="23" spans="1:15" ht="30.75" customHeight="1">
      <c r="A23" s="207" t="s">
        <v>193</v>
      </c>
      <c r="B23" s="152">
        <v>99059</v>
      </c>
      <c r="C23" s="153" t="s">
        <v>1295</v>
      </c>
      <c r="D23" s="168" t="s">
        <v>56</v>
      </c>
      <c r="E23" s="1953">
        <v>38.97</v>
      </c>
      <c r="F23" s="353">
        <f t="shared" si="0"/>
        <v>78.25</v>
      </c>
      <c r="G23" s="351">
        <v>78.25</v>
      </c>
      <c r="H23" s="354">
        <f t="shared" si="1"/>
        <v>47.63</v>
      </c>
      <c r="I23" s="171">
        <f t="shared" si="2"/>
        <v>3727.04</v>
      </c>
      <c r="J23" s="237"/>
      <c r="K23" s="679"/>
      <c r="L23" s="935"/>
    </row>
    <row r="24" spans="1:15" ht="30.75" customHeight="1">
      <c r="A24" s="207" t="s">
        <v>194</v>
      </c>
      <c r="B24" s="314" t="s">
        <v>133</v>
      </c>
      <c r="C24" s="541" t="s">
        <v>1294</v>
      </c>
      <c r="D24" s="200" t="s">
        <v>57</v>
      </c>
      <c r="E24" s="1953">
        <v>1880.63</v>
      </c>
      <c r="F24" s="353">
        <f t="shared" si="0"/>
        <v>1</v>
      </c>
      <c r="G24" s="351">
        <v>1</v>
      </c>
      <c r="H24" s="354">
        <f t="shared" si="1"/>
        <v>2298.69</v>
      </c>
      <c r="I24" s="171">
        <f t="shared" si="2"/>
        <v>2298.69</v>
      </c>
      <c r="J24" s="574">
        <f>'COMP CIVIL'!F64</f>
        <v>1880.5299999999997</v>
      </c>
      <c r="K24" s="1121"/>
      <c r="L24" s="731"/>
      <c r="M24" s="1123"/>
      <c r="N24" s="1123"/>
      <c r="O24" s="1123"/>
    </row>
    <row r="25" spans="1:15" ht="35.25" customHeight="1">
      <c r="A25" s="207" t="s">
        <v>195</v>
      </c>
      <c r="B25" s="314">
        <v>93212</v>
      </c>
      <c r="C25" s="355" t="s">
        <v>346</v>
      </c>
      <c r="D25" s="168" t="s">
        <v>48</v>
      </c>
      <c r="E25" s="1954">
        <v>773.93</v>
      </c>
      <c r="F25" s="353">
        <f t="shared" si="0"/>
        <v>9</v>
      </c>
      <c r="G25" s="351">
        <v>9</v>
      </c>
      <c r="H25" s="354">
        <f t="shared" si="1"/>
        <v>945.97</v>
      </c>
      <c r="I25" s="171">
        <f t="shared" si="2"/>
        <v>8513.73</v>
      </c>
      <c r="J25" s="304"/>
      <c r="K25" s="309"/>
      <c r="L25" s="935"/>
    </row>
    <row r="26" spans="1:15" ht="30.75" customHeight="1">
      <c r="A26" s="207" t="s">
        <v>196</v>
      </c>
      <c r="B26" s="152">
        <v>93208</v>
      </c>
      <c r="C26" s="288" t="s">
        <v>345</v>
      </c>
      <c r="D26" s="168" t="s">
        <v>48</v>
      </c>
      <c r="E26" s="1953">
        <v>651.54999999999995</v>
      </c>
      <c r="F26" s="353">
        <f t="shared" si="0"/>
        <v>23.38</v>
      </c>
      <c r="G26" s="351">
        <v>23.38</v>
      </c>
      <c r="H26" s="354">
        <f t="shared" si="1"/>
        <v>796.38</v>
      </c>
      <c r="I26" s="171">
        <f t="shared" si="2"/>
        <v>18619.36</v>
      </c>
      <c r="J26" s="184"/>
      <c r="K26" s="309"/>
      <c r="L26" s="935"/>
    </row>
    <row r="27" spans="1:15" ht="35.25" customHeight="1">
      <c r="A27" s="207" t="s">
        <v>197</v>
      </c>
      <c r="B27" s="152">
        <v>93210</v>
      </c>
      <c r="C27" s="701" t="s">
        <v>753</v>
      </c>
      <c r="D27" s="168" t="s">
        <v>48</v>
      </c>
      <c r="E27" s="1953">
        <v>473.03</v>
      </c>
      <c r="F27" s="353">
        <f t="shared" si="0"/>
        <v>23.38</v>
      </c>
      <c r="G27" s="351">
        <v>23.38</v>
      </c>
      <c r="H27" s="354">
        <f t="shared" si="1"/>
        <v>578.17999999999995</v>
      </c>
      <c r="I27" s="171">
        <f t="shared" si="2"/>
        <v>13517.84</v>
      </c>
      <c r="J27" s="184"/>
      <c r="K27" s="309"/>
    </row>
    <row r="28" spans="1:15" ht="34.5" customHeight="1" thickBot="1">
      <c r="A28" s="1817" t="s">
        <v>198</v>
      </c>
      <c r="B28" s="130">
        <v>93207</v>
      </c>
      <c r="C28" s="1818" t="s">
        <v>752</v>
      </c>
      <c r="D28" s="1819" t="s">
        <v>48</v>
      </c>
      <c r="E28" s="1955">
        <v>846.66</v>
      </c>
      <c r="F28" s="965">
        <f t="shared" si="0"/>
        <v>13.6</v>
      </c>
      <c r="G28" s="1820">
        <v>13.6</v>
      </c>
      <c r="H28" s="955">
        <f t="shared" si="1"/>
        <v>1034.8699999999999</v>
      </c>
      <c r="I28" s="1821">
        <f t="shared" si="2"/>
        <v>14074.23</v>
      </c>
      <c r="J28" s="184"/>
      <c r="K28" s="309"/>
    </row>
    <row r="29" spans="1:15" ht="36.75" customHeight="1">
      <c r="A29" s="1822" t="s">
        <v>199</v>
      </c>
      <c r="B29" s="1823">
        <v>93214</v>
      </c>
      <c r="C29" s="1824" t="s">
        <v>344</v>
      </c>
      <c r="D29" s="1825" t="s">
        <v>57</v>
      </c>
      <c r="E29" s="1956">
        <v>3397.35</v>
      </c>
      <c r="F29" s="1826">
        <f t="shared" si="0"/>
        <v>1</v>
      </c>
      <c r="G29" s="1827">
        <v>1</v>
      </c>
      <c r="H29" s="1828">
        <f t="shared" si="1"/>
        <v>4152.58</v>
      </c>
      <c r="I29" s="1829">
        <f t="shared" si="2"/>
        <v>4152.58</v>
      </c>
      <c r="J29" s="184"/>
      <c r="K29" s="309"/>
    </row>
    <row r="30" spans="1:15" ht="45" customHeight="1">
      <c r="A30" s="207" t="s">
        <v>200</v>
      </c>
      <c r="B30" s="356">
        <v>95635</v>
      </c>
      <c r="C30" s="288" t="s">
        <v>348</v>
      </c>
      <c r="D30" s="200" t="s">
        <v>57</v>
      </c>
      <c r="E30" s="1957">
        <v>150.01</v>
      </c>
      <c r="F30" s="353">
        <f t="shared" si="0"/>
        <v>1</v>
      </c>
      <c r="G30" s="351">
        <v>1</v>
      </c>
      <c r="H30" s="354">
        <f t="shared" si="1"/>
        <v>183.35</v>
      </c>
      <c r="I30" s="171">
        <f t="shared" si="2"/>
        <v>183.35</v>
      </c>
      <c r="J30" s="184"/>
      <c r="K30" s="309"/>
    </row>
    <row r="31" spans="1:15" ht="18" customHeight="1">
      <c r="A31" s="207" t="s">
        <v>201</v>
      </c>
      <c r="B31" s="152">
        <v>95675</v>
      </c>
      <c r="C31" s="288" t="s">
        <v>347</v>
      </c>
      <c r="D31" s="200" t="s">
        <v>57</v>
      </c>
      <c r="E31" s="1953">
        <v>132.33000000000001</v>
      </c>
      <c r="F31" s="353">
        <f t="shared" si="0"/>
        <v>1</v>
      </c>
      <c r="G31" s="699">
        <v>1</v>
      </c>
      <c r="H31" s="354">
        <f t="shared" si="1"/>
        <v>161.74</v>
      </c>
      <c r="I31" s="171">
        <f t="shared" si="2"/>
        <v>161.74</v>
      </c>
      <c r="J31" s="378"/>
      <c r="K31" s="378"/>
    </row>
    <row r="32" spans="1:15" ht="18" customHeight="1">
      <c r="A32" s="207" t="s">
        <v>202</v>
      </c>
      <c r="B32" s="165" t="s">
        <v>530</v>
      </c>
      <c r="C32" s="355" t="s">
        <v>357</v>
      </c>
      <c r="D32" s="200" t="s">
        <v>57</v>
      </c>
      <c r="E32" s="1953">
        <v>3788.7</v>
      </c>
      <c r="F32" s="353">
        <f t="shared" si="0"/>
        <v>1</v>
      </c>
      <c r="G32" s="699">
        <v>1</v>
      </c>
      <c r="H32" s="354">
        <f t="shared" si="1"/>
        <v>4630.92</v>
      </c>
      <c r="I32" s="171">
        <f t="shared" si="2"/>
        <v>4630.92</v>
      </c>
      <c r="J32" s="203">
        <f>'COMP CIVIL'!F78</f>
        <v>3788.7</v>
      </c>
      <c r="K32" s="378"/>
    </row>
    <row r="33" spans="1:12" ht="15.75" thickBot="1">
      <c r="A33" s="172"/>
      <c r="B33" s="173"/>
      <c r="C33" s="1830"/>
      <c r="D33" s="175"/>
      <c r="E33" s="953"/>
      <c r="F33" s="954"/>
      <c r="G33" s="955"/>
      <c r="H33" s="956" t="s">
        <v>16</v>
      </c>
      <c r="I33" s="178">
        <f>TRUNC(SUM(I18:I32),2)</f>
        <v>129397.46</v>
      </c>
      <c r="J33" s="373"/>
      <c r="K33" s="205"/>
    </row>
    <row r="34" spans="1:12">
      <c r="A34" s="622">
        <v>3</v>
      </c>
      <c r="B34" s="623"/>
      <c r="C34" s="624" t="s">
        <v>206</v>
      </c>
      <c r="D34" s="625"/>
      <c r="E34" s="957"/>
      <c r="F34" s="958"/>
      <c r="G34" s="959"/>
      <c r="H34" s="959"/>
      <c r="I34" s="628"/>
      <c r="J34" s="482" t="s">
        <v>920</v>
      </c>
      <c r="K34" s="850"/>
    </row>
    <row r="35" spans="1:12" ht="42.75" customHeight="1">
      <c r="A35" s="377" t="s">
        <v>19</v>
      </c>
      <c r="B35" s="152">
        <v>101113</v>
      </c>
      <c r="C35" s="701" t="s">
        <v>754</v>
      </c>
      <c r="D35" s="320" t="s">
        <v>49</v>
      </c>
      <c r="E35" s="1953">
        <v>744.08</v>
      </c>
      <c r="F35" s="353">
        <f>IF(OR(E35&lt;=0)," ",TRUNC(G35,2))</f>
        <v>30.34</v>
      </c>
      <c r="G35" s="351">
        <v>30.34</v>
      </c>
      <c r="H35" s="354">
        <f>IF(OR(E35&lt;=0)," ",TRUNC((E35*(1+$I$9)),2))</f>
        <v>909.48</v>
      </c>
      <c r="I35" s="171">
        <f>IF(OR(E35&lt;=0)," ",TRUNC((H35*F35),2))</f>
        <v>27593.62</v>
      </c>
      <c r="J35" s="850"/>
      <c r="K35" s="183"/>
    </row>
    <row r="36" spans="1:12" ht="30.75" customHeight="1">
      <c r="A36" s="377" t="s">
        <v>1626</v>
      </c>
      <c r="B36" s="324">
        <v>96527</v>
      </c>
      <c r="C36" s="701" t="s">
        <v>587</v>
      </c>
      <c r="D36" s="320" t="s">
        <v>49</v>
      </c>
      <c r="E36" s="1958">
        <v>93.72</v>
      </c>
      <c r="F36" s="353">
        <f>IF(OR(E36&lt;=0)," ",TRUNC(G36,2))</f>
        <v>35.49</v>
      </c>
      <c r="G36" s="960">
        <v>35.49</v>
      </c>
      <c r="H36" s="354">
        <f>IF(OR(E36&lt;=0)," ",TRUNC((E36*(1+$I$9)),2))</f>
        <v>114.55</v>
      </c>
      <c r="I36" s="171">
        <f>IF(OR(E36&lt;=0)," ",TRUNC((H36*F36),2))</f>
        <v>4065.37</v>
      </c>
      <c r="J36" s="374"/>
      <c r="K36" s="544"/>
    </row>
    <row r="37" spans="1:12" ht="19.5" customHeight="1">
      <c r="A37" s="377" t="s">
        <v>71</v>
      </c>
      <c r="B37" s="152">
        <v>96995</v>
      </c>
      <c r="C37" s="730" t="s">
        <v>358</v>
      </c>
      <c r="D37" s="320" t="s">
        <v>49</v>
      </c>
      <c r="E37" s="1958">
        <v>37.53</v>
      </c>
      <c r="F37" s="353">
        <f>IF(OR(E37&lt;=0)," ",TRUNC(G37,2))</f>
        <v>25.81</v>
      </c>
      <c r="G37" s="960">
        <v>25.81</v>
      </c>
      <c r="H37" s="354">
        <f>IF(OR(E37&lt;=0)," ",TRUNC((E37*(1+$I$9)),2))</f>
        <v>45.87</v>
      </c>
      <c r="I37" s="171">
        <f>IF(OR(E37&lt;=0)," ",TRUNC((H37*F37),2))</f>
        <v>1183.9000000000001</v>
      </c>
      <c r="J37" s="714"/>
      <c r="K37" s="740" t="s">
        <v>770</v>
      </c>
      <c r="L37" s="715"/>
    </row>
    <row r="38" spans="1:12" ht="15.75" thickBot="1">
      <c r="A38" s="379"/>
      <c r="B38" s="175"/>
      <c r="C38" s="175"/>
      <c r="D38" s="175"/>
      <c r="E38" s="953"/>
      <c r="F38" s="954"/>
      <c r="G38" s="955"/>
      <c r="H38" s="956" t="s">
        <v>16</v>
      </c>
      <c r="I38" s="178">
        <f>TRUNC(SUM(I35:I37),2)</f>
        <v>32842.89</v>
      </c>
      <c r="J38" s="371"/>
      <c r="K38" s="131"/>
    </row>
    <row r="39" spans="1:12">
      <c r="A39" s="622">
        <v>4</v>
      </c>
      <c r="B39" s="623"/>
      <c r="C39" s="624" t="s">
        <v>720</v>
      </c>
      <c r="D39" s="625"/>
      <c r="E39" s="957"/>
      <c r="F39" s="958"/>
      <c r="G39" s="959"/>
      <c r="H39" s="959"/>
      <c r="I39" s="628"/>
      <c r="J39" s="482"/>
      <c r="K39" s="131"/>
    </row>
    <row r="40" spans="1:12">
      <c r="A40" s="375" t="s">
        <v>20</v>
      </c>
      <c r="B40" s="317"/>
      <c r="C40" s="319" t="s">
        <v>218</v>
      </c>
      <c r="D40" s="317"/>
      <c r="E40" s="961"/>
      <c r="F40" s="962" t="str">
        <f t="shared" ref="F40:F92" si="3">IF(OR(E40&lt;=0)," ",TRUNC(G40,2))</f>
        <v xml:space="preserve"> </v>
      </c>
      <c r="G40" s="722"/>
      <c r="H40" s="722" t="str">
        <f t="shared" ref="H40:H92" si="4">IF(OR(E40&lt;=0)," ",TRUNC((E40*(1+$I$9)),2))</f>
        <v xml:space="preserve"> </v>
      </c>
      <c r="I40" s="318" t="str">
        <f t="shared" ref="I40:I92" si="5">IF(OR(E40&lt;=0)," ",TRUNC((H40*F40),2))</f>
        <v xml:space="preserve"> </v>
      </c>
      <c r="J40" s="850"/>
      <c r="K40" s="131"/>
    </row>
    <row r="41" spans="1:12" ht="35.25" customHeight="1">
      <c r="A41" s="207" t="s">
        <v>213</v>
      </c>
      <c r="B41" s="247">
        <v>96536</v>
      </c>
      <c r="C41" s="288" t="s">
        <v>368</v>
      </c>
      <c r="D41" s="247" t="s">
        <v>48</v>
      </c>
      <c r="E41" s="1959">
        <v>50.71</v>
      </c>
      <c r="F41" s="353">
        <f t="shared" si="3"/>
        <v>153.22</v>
      </c>
      <c r="G41" s="352">
        <v>153.22</v>
      </c>
      <c r="H41" s="354">
        <f t="shared" si="4"/>
        <v>61.98</v>
      </c>
      <c r="I41" s="171">
        <f t="shared" si="5"/>
        <v>9496.57</v>
      </c>
      <c r="J41" s="371"/>
      <c r="K41" s="131"/>
    </row>
    <row r="42" spans="1:12" ht="35.25" customHeight="1">
      <c r="A42" s="207" t="s">
        <v>212</v>
      </c>
      <c r="B42" s="247">
        <v>94965</v>
      </c>
      <c r="C42" s="355" t="s">
        <v>365</v>
      </c>
      <c r="D42" s="320" t="s">
        <v>49</v>
      </c>
      <c r="E42" s="1959">
        <v>391.29</v>
      </c>
      <c r="F42" s="353">
        <f t="shared" si="3"/>
        <v>9.68</v>
      </c>
      <c r="G42" s="352">
        <v>9.68</v>
      </c>
      <c r="H42" s="354">
        <f t="shared" si="4"/>
        <v>478.27</v>
      </c>
      <c r="I42" s="171">
        <f t="shared" si="5"/>
        <v>4629.6499999999996</v>
      </c>
      <c r="J42" s="371"/>
      <c r="K42" s="412"/>
    </row>
    <row r="43" spans="1:12" ht="28.5">
      <c r="A43" s="207" t="s">
        <v>214</v>
      </c>
      <c r="B43" s="247">
        <v>92874</v>
      </c>
      <c r="C43" s="288" t="s">
        <v>366</v>
      </c>
      <c r="D43" s="320" t="s">
        <v>49</v>
      </c>
      <c r="E43" s="1959">
        <v>26.68</v>
      </c>
      <c r="F43" s="353">
        <f t="shared" si="3"/>
        <v>9.68</v>
      </c>
      <c r="G43" s="352">
        <v>9.68</v>
      </c>
      <c r="H43" s="354">
        <f t="shared" si="4"/>
        <v>32.61</v>
      </c>
      <c r="I43" s="171">
        <f t="shared" si="5"/>
        <v>315.66000000000003</v>
      </c>
      <c r="J43" s="205"/>
      <c r="K43" s="412"/>
    </row>
    <row r="44" spans="1:12" ht="33" customHeight="1">
      <c r="A44" s="207" t="s">
        <v>215</v>
      </c>
      <c r="B44" s="247">
        <v>96543</v>
      </c>
      <c r="C44" s="288" t="s">
        <v>367</v>
      </c>
      <c r="D44" s="247" t="s">
        <v>101</v>
      </c>
      <c r="E44" s="1959">
        <v>20.21</v>
      </c>
      <c r="F44" s="353">
        <f t="shared" si="3"/>
        <v>101.8</v>
      </c>
      <c r="G44" s="352">
        <v>101.8</v>
      </c>
      <c r="H44" s="354">
        <f t="shared" si="4"/>
        <v>24.7</v>
      </c>
      <c r="I44" s="171">
        <f t="shared" si="5"/>
        <v>2514.46</v>
      </c>
      <c r="J44" s="205"/>
      <c r="K44" s="374"/>
    </row>
    <row r="45" spans="1:12" ht="47.25" customHeight="1">
      <c r="A45" s="207" t="s">
        <v>216</v>
      </c>
      <c r="B45" s="247">
        <v>92777</v>
      </c>
      <c r="C45" s="288" t="s">
        <v>374</v>
      </c>
      <c r="D45" s="247" t="s">
        <v>101</v>
      </c>
      <c r="E45" s="1959">
        <v>18.899999999999999</v>
      </c>
      <c r="F45" s="353">
        <f t="shared" si="3"/>
        <v>33.1</v>
      </c>
      <c r="G45" s="352">
        <v>33.1</v>
      </c>
      <c r="H45" s="354">
        <f t="shared" si="4"/>
        <v>23.1</v>
      </c>
      <c r="I45" s="171">
        <f t="shared" si="5"/>
        <v>764.61</v>
      </c>
      <c r="J45" s="205"/>
      <c r="K45" s="374"/>
    </row>
    <row r="46" spans="1:12" ht="48" customHeight="1">
      <c r="A46" s="207" t="s">
        <v>217</v>
      </c>
      <c r="B46" s="247">
        <v>92778</v>
      </c>
      <c r="C46" s="288" t="s">
        <v>375</v>
      </c>
      <c r="D46" s="247" t="s">
        <v>101</v>
      </c>
      <c r="E46" s="1959">
        <v>17.059999999999999</v>
      </c>
      <c r="F46" s="353">
        <f t="shared" si="3"/>
        <v>368.7</v>
      </c>
      <c r="G46" s="352">
        <v>368.7</v>
      </c>
      <c r="H46" s="354">
        <f t="shared" si="4"/>
        <v>20.85</v>
      </c>
      <c r="I46" s="171">
        <f t="shared" si="5"/>
        <v>7687.39</v>
      </c>
      <c r="J46" s="411"/>
      <c r="K46" s="374"/>
    </row>
    <row r="47" spans="1:12" ht="50.25" customHeight="1">
      <c r="A47" s="207" t="s">
        <v>219</v>
      </c>
      <c r="B47" s="247">
        <v>92779</v>
      </c>
      <c r="C47" s="288" t="s">
        <v>395</v>
      </c>
      <c r="D47" s="247" t="s">
        <v>101</v>
      </c>
      <c r="E47" s="1959">
        <v>14.45</v>
      </c>
      <c r="F47" s="353">
        <f t="shared" si="3"/>
        <v>20</v>
      </c>
      <c r="G47" s="352">
        <v>20</v>
      </c>
      <c r="H47" s="354">
        <f t="shared" si="4"/>
        <v>17.66</v>
      </c>
      <c r="I47" s="171">
        <f t="shared" si="5"/>
        <v>353.2</v>
      </c>
      <c r="J47" s="380"/>
      <c r="K47" s="374"/>
    </row>
    <row r="48" spans="1:12">
      <c r="A48" s="375" t="s">
        <v>21</v>
      </c>
      <c r="B48" s="317"/>
      <c r="C48" s="319" t="s">
        <v>731</v>
      </c>
      <c r="D48" s="317"/>
      <c r="E48" s="961"/>
      <c r="F48" s="962" t="str">
        <f t="shared" si="3"/>
        <v xml:space="preserve"> </v>
      </c>
      <c r="G48" s="722"/>
      <c r="H48" s="722" t="str">
        <f>IF(OR(E48&lt;=0)," ",TRUNC((E48*(1+$I$9)),2))</f>
        <v xml:space="preserve"> </v>
      </c>
      <c r="I48" s="318" t="str">
        <f>IF(OR(E48&lt;=0)," ",TRUNC((H48*F48),2))</f>
        <v xml:space="preserve"> </v>
      </c>
      <c r="J48" s="850"/>
      <c r="K48" s="131"/>
    </row>
    <row r="49" spans="1:11" ht="22.5" customHeight="1">
      <c r="A49" s="207" t="s">
        <v>755</v>
      </c>
      <c r="B49" s="424" t="s">
        <v>401</v>
      </c>
      <c r="C49" s="705" t="s">
        <v>757</v>
      </c>
      <c r="D49" s="320" t="s">
        <v>48</v>
      </c>
      <c r="E49" s="1959">
        <v>59.22</v>
      </c>
      <c r="F49" s="353">
        <f t="shared" si="3"/>
        <v>13.32</v>
      </c>
      <c r="G49" s="352">
        <v>13.32</v>
      </c>
      <c r="H49" s="354">
        <f t="shared" si="4"/>
        <v>72.38</v>
      </c>
      <c r="I49" s="171">
        <f t="shared" si="5"/>
        <v>964.1</v>
      </c>
      <c r="J49" s="573">
        <f>'COMP ESTRUT'!F28</f>
        <v>59.22</v>
      </c>
      <c r="K49" s="131"/>
    </row>
    <row r="50" spans="1:11" ht="35.25" customHeight="1">
      <c r="A50" s="207"/>
      <c r="B50" s="247">
        <v>94965</v>
      </c>
      <c r="C50" s="288" t="s">
        <v>365</v>
      </c>
      <c r="D50" s="320" t="s">
        <v>49</v>
      </c>
      <c r="E50" s="1959">
        <v>391.29</v>
      </c>
      <c r="F50" s="353">
        <f>IF(OR(E50&lt;=0)," ",TRUNC(G50,2))</f>
        <v>30.34</v>
      </c>
      <c r="G50" s="352">
        <v>30.34</v>
      </c>
      <c r="H50" s="354">
        <f t="shared" si="4"/>
        <v>478.27</v>
      </c>
      <c r="I50" s="171">
        <f t="shared" si="5"/>
        <v>14510.71</v>
      </c>
      <c r="J50" s="425"/>
      <c r="K50" s="131"/>
    </row>
    <row r="51" spans="1:11" ht="23.25" customHeight="1">
      <c r="A51" s="207" t="s">
        <v>220</v>
      </c>
      <c r="B51" s="424" t="s">
        <v>402</v>
      </c>
      <c r="C51" s="288" t="s">
        <v>758</v>
      </c>
      <c r="D51" s="320" t="s">
        <v>49</v>
      </c>
      <c r="E51" s="1959">
        <v>63.86</v>
      </c>
      <c r="F51" s="353">
        <f t="shared" si="3"/>
        <v>30.34</v>
      </c>
      <c r="G51" s="352">
        <v>30.34</v>
      </c>
      <c r="H51" s="354">
        <f t="shared" si="4"/>
        <v>78.05</v>
      </c>
      <c r="I51" s="171">
        <f t="shared" si="5"/>
        <v>2368.0300000000002</v>
      </c>
      <c r="J51" s="573">
        <f>'COMP ESTRUT'!F39</f>
        <v>63.86</v>
      </c>
      <c r="K51" s="131"/>
    </row>
    <row r="52" spans="1:11" ht="34.5" customHeight="1">
      <c r="A52" s="207" t="s">
        <v>221</v>
      </c>
      <c r="B52" s="424" t="s">
        <v>775</v>
      </c>
      <c r="C52" s="288" t="s">
        <v>761</v>
      </c>
      <c r="D52" s="247" t="s">
        <v>101</v>
      </c>
      <c r="E52" s="1959">
        <v>54.22</v>
      </c>
      <c r="F52" s="353">
        <f t="shared" si="3"/>
        <v>482</v>
      </c>
      <c r="G52" s="352">
        <v>482</v>
      </c>
      <c r="H52" s="354">
        <f t="shared" si="4"/>
        <v>66.27</v>
      </c>
      <c r="I52" s="171">
        <f t="shared" si="5"/>
        <v>31942.14</v>
      </c>
      <c r="J52" s="573">
        <f>'COMP ESTRUT'!F68</f>
        <v>54.221858000000005</v>
      </c>
      <c r="K52" s="131"/>
    </row>
    <row r="53" spans="1:11">
      <c r="A53" s="375" t="s">
        <v>22</v>
      </c>
      <c r="B53" s="317"/>
      <c r="C53" s="319" t="s">
        <v>924</v>
      </c>
      <c r="D53" s="317"/>
      <c r="E53" s="961"/>
      <c r="F53" s="962" t="str">
        <f t="shared" si="3"/>
        <v xml:space="preserve"> </v>
      </c>
      <c r="G53" s="722"/>
      <c r="H53" s="722" t="str">
        <f>IF(OR(E53&lt;=0)," ",TRUNC((E53*(1+$I$9)),2))</f>
        <v xml:space="preserve"> </v>
      </c>
      <c r="I53" s="318" t="str">
        <f t="shared" si="5"/>
        <v xml:space="preserve"> </v>
      </c>
      <c r="J53" s="372" t="s">
        <v>994</v>
      </c>
      <c r="K53" s="374"/>
    </row>
    <row r="54" spans="1:11" ht="48.75" customHeight="1">
      <c r="A54" s="209" t="s">
        <v>222</v>
      </c>
      <c r="B54" s="247">
        <v>92522</v>
      </c>
      <c r="C54" s="153" t="s">
        <v>1296</v>
      </c>
      <c r="D54" s="247" t="s">
        <v>48</v>
      </c>
      <c r="E54" s="1959">
        <v>21.5</v>
      </c>
      <c r="F54" s="353">
        <f t="shared" si="3"/>
        <v>61.4</v>
      </c>
      <c r="G54" s="352">
        <v>61.4</v>
      </c>
      <c r="H54" s="354">
        <f t="shared" si="4"/>
        <v>26.27</v>
      </c>
      <c r="I54" s="171">
        <f t="shared" si="5"/>
        <v>1612.97</v>
      </c>
      <c r="J54" s="850"/>
      <c r="K54" s="372"/>
    </row>
    <row r="55" spans="1:11" ht="33" customHeight="1">
      <c r="A55" s="209" t="s">
        <v>223</v>
      </c>
      <c r="B55" s="247">
        <v>94965</v>
      </c>
      <c r="C55" s="1660" t="s">
        <v>365</v>
      </c>
      <c r="D55" s="320" t="s">
        <v>49</v>
      </c>
      <c r="E55" s="1959">
        <v>391.29</v>
      </c>
      <c r="F55" s="353">
        <f t="shared" si="3"/>
        <v>11.07</v>
      </c>
      <c r="G55" s="352">
        <v>11.07</v>
      </c>
      <c r="H55" s="354">
        <f t="shared" si="4"/>
        <v>478.27</v>
      </c>
      <c r="I55" s="171">
        <f t="shared" si="5"/>
        <v>5294.44</v>
      </c>
      <c r="J55" s="564"/>
      <c r="K55" s="372"/>
    </row>
    <row r="56" spans="1:11" ht="33.75" customHeight="1">
      <c r="A56" s="209" t="s">
        <v>224</v>
      </c>
      <c r="B56" s="247">
        <v>92874</v>
      </c>
      <c r="C56" s="153" t="s">
        <v>366</v>
      </c>
      <c r="D56" s="320" t="s">
        <v>49</v>
      </c>
      <c r="E56" s="1959">
        <v>26.68</v>
      </c>
      <c r="F56" s="353">
        <f t="shared" si="3"/>
        <v>11.07</v>
      </c>
      <c r="G56" s="352">
        <v>11.07</v>
      </c>
      <c r="H56" s="354">
        <f t="shared" si="4"/>
        <v>32.61</v>
      </c>
      <c r="I56" s="171">
        <f t="shared" si="5"/>
        <v>360.99</v>
      </c>
      <c r="J56" s="564"/>
      <c r="K56" s="372"/>
    </row>
    <row r="57" spans="1:11" ht="46.5" customHeight="1">
      <c r="A57" s="209" t="s">
        <v>225</v>
      </c>
      <c r="B57" s="247">
        <v>92784</v>
      </c>
      <c r="C57" s="153" t="s">
        <v>926</v>
      </c>
      <c r="D57" s="247" t="s">
        <v>101</v>
      </c>
      <c r="E57" s="1959">
        <v>18.47</v>
      </c>
      <c r="F57" s="353">
        <f t="shared" si="3"/>
        <v>113.63</v>
      </c>
      <c r="G57" s="352">
        <v>113.63</v>
      </c>
      <c r="H57" s="354">
        <f t="shared" si="4"/>
        <v>22.57</v>
      </c>
      <c r="I57" s="171">
        <f t="shared" si="5"/>
        <v>2564.62</v>
      </c>
      <c r="J57" s="564"/>
      <c r="K57" s="372"/>
    </row>
    <row r="58" spans="1:11" ht="46.5" customHeight="1">
      <c r="A58" s="209" t="s">
        <v>226</v>
      </c>
      <c r="B58" s="247">
        <v>92785</v>
      </c>
      <c r="C58" s="153" t="s">
        <v>927</v>
      </c>
      <c r="D58" s="247" t="s">
        <v>101</v>
      </c>
      <c r="E58" s="1959">
        <v>18.34</v>
      </c>
      <c r="F58" s="353">
        <f t="shared" si="3"/>
        <v>322</v>
      </c>
      <c r="G58" s="352">
        <v>322</v>
      </c>
      <c r="H58" s="354">
        <f t="shared" si="4"/>
        <v>22.41</v>
      </c>
      <c r="I58" s="171">
        <f t="shared" si="5"/>
        <v>7216.02</v>
      </c>
      <c r="J58" s="564"/>
      <c r="K58" s="372"/>
    </row>
    <row r="59" spans="1:11" ht="46.5" customHeight="1">
      <c r="A59" s="209" t="s">
        <v>227</v>
      </c>
      <c r="B59" s="247">
        <v>92786</v>
      </c>
      <c r="C59" s="153" t="s">
        <v>371</v>
      </c>
      <c r="D59" s="247" t="s">
        <v>101</v>
      </c>
      <c r="E59" s="1959">
        <v>17.82</v>
      </c>
      <c r="F59" s="353">
        <f t="shared" si="3"/>
        <v>28.07</v>
      </c>
      <c r="G59" s="352">
        <v>28.07</v>
      </c>
      <c r="H59" s="354">
        <f t="shared" si="4"/>
        <v>21.78</v>
      </c>
      <c r="I59" s="171">
        <f t="shared" si="5"/>
        <v>611.36</v>
      </c>
      <c r="J59" s="564"/>
      <c r="K59" s="372"/>
    </row>
    <row r="60" spans="1:11" ht="46.5" customHeight="1">
      <c r="A60" s="209" t="s">
        <v>228</v>
      </c>
      <c r="B60" s="247">
        <v>92787</v>
      </c>
      <c r="C60" s="153" t="s">
        <v>928</v>
      </c>
      <c r="D60" s="247" t="s">
        <v>101</v>
      </c>
      <c r="E60" s="1959">
        <v>16.22</v>
      </c>
      <c r="F60" s="353">
        <f t="shared" si="3"/>
        <v>103.3</v>
      </c>
      <c r="G60" s="352">
        <v>103.3</v>
      </c>
      <c r="H60" s="354">
        <f t="shared" si="4"/>
        <v>19.82</v>
      </c>
      <c r="I60" s="171">
        <f t="shared" si="5"/>
        <v>2047.4</v>
      </c>
      <c r="J60" s="564"/>
      <c r="K60" s="372"/>
    </row>
    <row r="61" spans="1:11" ht="46.5" customHeight="1">
      <c r="A61" s="209" t="s">
        <v>229</v>
      </c>
      <c r="B61" s="247">
        <v>92788</v>
      </c>
      <c r="C61" s="153" t="s">
        <v>929</v>
      </c>
      <c r="D61" s="247" t="s">
        <v>101</v>
      </c>
      <c r="E61" s="1959">
        <v>13.81</v>
      </c>
      <c r="F61" s="353">
        <f t="shared" si="3"/>
        <v>114.3</v>
      </c>
      <c r="G61" s="352">
        <v>114.3</v>
      </c>
      <c r="H61" s="354">
        <f t="shared" si="4"/>
        <v>16.87</v>
      </c>
      <c r="I61" s="171">
        <f t="shared" si="5"/>
        <v>1928.24</v>
      </c>
      <c r="J61" s="564"/>
      <c r="K61" s="372"/>
    </row>
    <row r="62" spans="1:11" ht="15" customHeight="1">
      <c r="A62" s="375" t="s">
        <v>23</v>
      </c>
      <c r="B62" s="317"/>
      <c r="C62" s="319" t="s">
        <v>925</v>
      </c>
      <c r="D62" s="317"/>
      <c r="E62" s="961"/>
      <c r="F62" s="962" t="str">
        <f>IF(OR(E62&lt;=0)," ",TRUNC(G62,2))</f>
        <v xml:space="preserve"> </v>
      </c>
      <c r="G62" s="722"/>
      <c r="H62" s="722" t="str">
        <f>IF(OR(E62&lt;=0)," ",TRUNC((E62*(1+$I$9)),2))</f>
        <v xml:space="preserve"> </v>
      </c>
      <c r="I62" s="318" t="str">
        <f>IF(OR(E62&lt;=0)," ",TRUNC((H62*F62),2))</f>
        <v xml:space="preserve"> </v>
      </c>
      <c r="J62" s="850"/>
      <c r="K62" s="372"/>
    </row>
    <row r="63" spans="1:11" ht="28.5" customHeight="1">
      <c r="A63" s="209" t="s">
        <v>231</v>
      </c>
      <c r="B63" s="424" t="s">
        <v>951</v>
      </c>
      <c r="C63" s="153" t="s">
        <v>998</v>
      </c>
      <c r="D63" s="200" t="s">
        <v>48</v>
      </c>
      <c r="E63" s="1959">
        <v>129.28</v>
      </c>
      <c r="F63" s="353">
        <f t="shared" si="3"/>
        <v>209</v>
      </c>
      <c r="G63" s="352">
        <v>209</v>
      </c>
      <c r="H63" s="354">
        <f t="shared" si="4"/>
        <v>158.01</v>
      </c>
      <c r="I63" s="171">
        <f t="shared" si="5"/>
        <v>33024.089999999997</v>
      </c>
      <c r="J63" s="574">
        <f>'COMP ESTRUT'!F86</f>
        <v>129.28</v>
      </c>
      <c r="K63" s="679" t="s">
        <v>1601</v>
      </c>
    </row>
    <row r="64" spans="1:11" ht="47.25" customHeight="1">
      <c r="A64" s="209" t="s">
        <v>235</v>
      </c>
      <c r="B64" s="247">
        <v>92784</v>
      </c>
      <c r="C64" s="153" t="s">
        <v>926</v>
      </c>
      <c r="D64" s="247" t="s">
        <v>101</v>
      </c>
      <c r="E64" s="1959">
        <v>18.47</v>
      </c>
      <c r="F64" s="353">
        <f t="shared" si="3"/>
        <v>97.45</v>
      </c>
      <c r="G64" s="352">
        <v>97.45</v>
      </c>
      <c r="H64" s="354">
        <f t="shared" si="4"/>
        <v>22.57</v>
      </c>
      <c r="I64" s="171">
        <f t="shared" si="5"/>
        <v>2199.44</v>
      </c>
      <c r="J64" s="372"/>
      <c r="K64" s="374"/>
    </row>
    <row r="65" spans="1:11" ht="47.25" customHeight="1">
      <c r="A65" s="209" t="s">
        <v>776</v>
      </c>
      <c r="B65" s="247">
        <v>92785</v>
      </c>
      <c r="C65" s="153" t="s">
        <v>927</v>
      </c>
      <c r="D65" s="247" t="s">
        <v>101</v>
      </c>
      <c r="E65" s="1959">
        <v>18.34</v>
      </c>
      <c r="F65" s="353">
        <f t="shared" si="3"/>
        <v>160</v>
      </c>
      <c r="G65" s="352">
        <v>160</v>
      </c>
      <c r="H65" s="354">
        <f t="shared" si="4"/>
        <v>22.41</v>
      </c>
      <c r="I65" s="171">
        <f t="shared" si="5"/>
        <v>3585.6</v>
      </c>
      <c r="J65" s="372"/>
      <c r="K65" s="374"/>
    </row>
    <row r="66" spans="1:11" ht="45.75" customHeight="1">
      <c r="A66" s="209" t="s">
        <v>930</v>
      </c>
      <c r="B66" s="247">
        <v>92786</v>
      </c>
      <c r="C66" s="153" t="s">
        <v>371</v>
      </c>
      <c r="D66" s="247" t="s">
        <v>101</v>
      </c>
      <c r="E66" s="1959">
        <v>17.82</v>
      </c>
      <c r="F66" s="353">
        <f t="shared" si="3"/>
        <v>73.03</v>
      </c>
      <c r="G66" s="352">
        <v>73.03</v>
      </c>
      <c r="H66" s="354">
        <f t="shared" si="4"/>
        <v>21.78</v>
      </c>
      <c r="I66" s="171">
        <f t="shared" si="5"/>
        <v>1590.59</v>
      </c>
      <c r="J66" s="372"/>
      <c r="K66" s="552"/>
    </row>
    <row r="67" spans="1:11" ht="47.25" customHeight="1">
      <c r="A67" s="209" t="s">
        <v>777</v>
      </c>
      <c r="B67" s="247">
        <v>92787</v>
      </c>
      <c r="C67" s="153" t="s">
        <v>928</v>
      </c>
      <c r="D67" s="247" t="s">
        <v>101</v>
      </c>
      <c r="E67" s="1959">
        <v>16.22</v>
      </c>
      <c r="F67" s="353">
        <f t="shared" si="3"/>
        <v>11.8</v>
      </c>
      <c r="G67" s="352">
        <v>11.8</v>
      </c>
      <c r="H67" s="354">
        <f t="shared" si="4"/>
        <v>19.82</v>
      </c>
      <c r="I67" s="171">
        <f t="shared" si="5"/>
        <v>233.87</v>
      </c>
      <c r="J67" s="372"/>
      <c r="K67" s="636"/>
    </row>
    <row r="68" spans="1:11">
      <c r="A68" s="375" t="s">
        <v>23</v>
      </c>
      <c r="B68" s="317"/>
      <c r="C68" s="319" t="s">
        <v>230</v>
      </c>
      <c r="D68" s="317"/>
      <c r="E68" s="961"/>
      <c r="F68" s="962" t="str">
        <f t="shared" si="3"/>
        <v xml:space="preserve"> </v>
      </c>
      <c r="G68" s="722"/>
      <c r="H68" s="722" t="str">
        <f t="shared" si="4"/>
        <v xml:space="preserve"> </v>
      </c>
      <c r="I68" s="318" t="str">
        <f t="shared" si="5"/>
        <v xml:space="preserve"> </v>
      </c>
      <c r="J68" s="850"/>
      <c r="K68" s="131"/>
    </row>
    <row r="69" spans="1:11" ht="58.5" customHeight="1">
      <c r="A69" s="209" t="s">
        <v>231</v>
      </c>
      <c r="B69" s="247">
        <v>92431</v>
      </c>
      <c r="C69" s="153" t="s">
        <v>370</v>
      </c>
      <c r="D69" s="247" t="s">
        <v>48</v>
      </c>
      <c r="E69" s="1959">
        <v>41.41</v>
      </c>
      <c r="F69" s="353">
        <f t="shared" si="3"/>
        <v>193.57</v>
      </c>
      <c r="G69" s="352">
        <v>193.57</v>
      </c>
      <c r="H69" s="354">
        <f t="shared" si="4"/>
        <v>50.61</v>
      </c>
      <c r="I69" s="171">
        <f t="shared" si="5"/>
        <v>9796.57</v>
      </c>
      <c r="J69" s="372"/>
      <c r="K69" s="131"/>
    </row>
    <row r="70" spans="1:11" ht="37.5" customHeight="1">
      <c r="A70" s="209" t="s">
        <v>232</v>
      </c>
      <c r="B70" s="247">
        <v>94965</v>
      </c>
      <c r="C70" s="153" t="s">
        <v>365</v>
      </c>
      <c r="D70" s="320" t="s">
        <v>49</v>
      </c>
      <c r="E70" s="1959">
        <v>391.29</v>
      </c>
      <c r="F70" s="353">
        <f t="shared" si="3"/>
        <v>10.77</v>
      </c>
      <c r="G70" s="352">
        <v>10.77</v>
      </c>
      <c r="H70" s="354">
        <f t="shared" si="4"/>
        <v>478.27</v>
      </c>
      <c r="I70" s="171">
        <f t="shared" si="5"/>
        <v>5150.96</v>
      </c>
      <c r="J70" s="372"/>
      <c r="K70" s="131"/>
    </row>
    <row r="71" spans="1:11" ht="28.5">
      <c r="A71" s="209" t="s">
        <v>233</v>
      </c>
      <c r="B71" s="247">
        <v>92874</v>
      </c>
      <c r="C71" s="153" t="s">
        <v>366</v>
      </c>
      <c r="D71" s="320" t="s">
        <v>49</v>
      </c>
      <c r="E71" s="1959">
        <v>26.68</v>
      </c>
      <c r="F71" s="353">
        <f t="shared" si="3"/>
        <v>10.77</v>
      </c>
      <c r="G71" s="352">
        <v>10.77</v>
      </c>
      <c r="H71" s="354">
        <f t="shared" si="4"/>
        <v>32.61</v>
      </c>
      <c r="I71" s="171">
        <f t="shared" si="5"/>
        <v>351.2</v>
      </c>
      <c r="J71" s="372"/>
      <c r="K71" s="131"/>
    </row>
    <row r="72" spans="1:11" ht="48.75" customHeight="1">
      <c r="A72" s="209" t="s">
        <v>234</v>
      </c>
      <c r="B72" s="247">
        <v>92775</v>
      </c>
      <c r="C72" s="153" t="s">
        <v>372</v>
      </c>
      <c r="D72" s="247" t="s">
        <v>101</v>
      </c>
      <c r="E72" s="1959">
        <v>20.23</v>
      </c>
      <c r="F72" s="353">
        <f t="shared" si="3"/>
        <v>254.9</v>
      </c>
      <c r="G72" s="352">
        <v>254.9</v>
      </c>
      <c r="H72" s="354">
        <f t="shared" si="4"/>
        <v>24.72</v>
      </c>
      <c r="I72" s="171">
        <f t="shared" si="5"/>
        <v>6301.12</v>
      </c>
      <c r="J72" s="565"/>
      <c r="K72" s="131"/>
    </row>
    <row r="73" spans="1:11" ht="48" customHeight="1">
      <c r="A73" s="209" t="s">
        <v>235</v>
      </c>
      <c r="B73" s="247">
        <v>92778</v>
      </c>
      <c r="C73" s="153" t="s">
        <v>375</v>
      </c>
      <c r="D73" s="247" t="s">
        <v>101</v>
      </c>
      <c r="E73" s="1959">
        <v>17.059999999999999</v>
      </c>
      <c r="F73" s="353">
        <f t="shared" si="3"/>
        <v>574.1</v>
      </c>
      <c r="G73" s="352">
        <v>574.1</v>
      </c>
      <c r="H73" s="354">
        <f t="shared" si="4"/>
        <v>20.85</v>
      </c>
      <c r="I73" s="171">
        <f t="shared" si="5"/>
        <v>11969.98</v>
      </c>
      <c r="J73" s="565"/>
      <c r="K73" s="131"/>
    </row>
    <row r="74" spans="1:11" ht="49.5" customHeight="1">
      <c r="A74" s="209" t="s">
        <v>776</v>
      </c>
      <c r="B74" s="247">
        <v>92779</v>
      </c>
      <c r="C74" s="701" t="s">
        <v>779</v>
      </c>
      <c r="D74" s="247" t="s">
        <v>101</v>
      </c>
      <c r="E74" s="1959">
        <v>14.45</v>
      </c>
      <c r="F74" s="353">
        <f t="shared" si="3"/>
        <v>11.1</v>
      </c>
      <c r="G74" s="352">
        <v>11.1</v>
      </c>
      <c r="H74" s="354">
        <f t="shared" si="4"/>
        <v>17.66</v>
      </c>
      <c r="I74" s="171">
        <f t="shared" si="5"/>
        <v>196.02</v>
      </c>
      <c r="J74" s="565"/>
      <c r="K74" s="131"/>
    </row>
    <row r="75" spans="1:11" ht="48.75" customHeight="1">
      <c r="A75" s="209" t="s">
        <v>777</v>
      </c>
      <c r="B75" s="247">
        <v>92780</v>
      </c>
      <c r="C75" s="701" t="s">
        <v>778</v>
      </c>
      <c r="D75" s="247" t="s">
        <v>101</v>
      </c>
      <c r="E75" s="1959">
        <v>13.85</v>
      </c>
      <c r="F75" s="353">
        <f t="shared" si="3"/>
        <v>428.3</v>
      </c>
      <c r="G75" s="352">
        <v>428.3</v>
      </c>
      <c r="H75" s="354">
        <f t="shared" si="4"/>
        <v>16.920000000000002</v>
      </c>
      <c r="I75" s="171">
        <f t="shared" si="5"/>
        <v>7246.83</v>
      </c>
      <c r="J75" s="565"/>
      <c r="K75" s="565"/>
    </row>
    <row r="76" spans="1:11">
      <c r="A76" s="375" t="s">
        <v>211</v>
      </c>
      <c r="B76" s="317"/>
      <c r="C76" s="319" t="s">
        <v>595</v>
      </c>
      <c r="D76" s="317"/>
      <c r="E76" s="961"/>
      <c r="F76" s="962" t="str">
        <f t="shared" si="3"/>
        <v xml:space="preserve"> </v>
      </c>
      <c r="G76" s="722"/>
      <c r="H76" s="722" t="str">
        <f t="shared" si="4"/>
        <v xml:space="preserve"> </v>
      </c>
      <c r="I76" s="318" t="str">
        <f t="shared" si="5"/>
        <v xml:space="preserve"> </v>
      </c>
      <c r="J76" s="850"/>
      <c r="K76" s="131"/>
    </row>
    <row r="77" spans="1:11" ht="48" customHeight="1">
      <c r="A77" s="209" t="s">
        <v>236</v>
      </c>
      <c r="B77" s="247">
        <v>92479</v>
      </c>
      <c r="C77" s="153" t="s">
        <v>369</v>
      </c>
      <c r="D77" s="247" t="s">
        <v>48</v>
      </c>
      <c r="E77" s="1959">
        <v>46.72</v>
      </c>
      <c r="F77" s="353">
        <f t="shared" si="3"/>
        <v>164.63</v>
      </c>
      <c r="G77" s="352">
        <v>164.63</v>
      </c>
      <c r="H77" s="354">
        <f t="shared" si="4"/>
        <v>57.1</v>
      </c>
      <c r="I77" s="171">
        <f t="shared" si="5"/>
        <v>9400.3700000000008</v>
      </c>
      <c r="J77" s="566"/>
      <c r="K77" s="131"/>
    </row>
    <row r="78" spans="1:11" ht="30.75" customHeight="1">
      <c r="A78" s="209" t="s">
        <v>237</v>
      </c>
      <c r="B78" s="247">
        <v>94965</v>
      </c>
      <c r="C78" s="1660" t="s">
        <v>365</v>
      </c>
      <c r="D78" s="320" t="s">
        <v>49</v>
      </c>
      <c r="E78" s="1959">
        <v>391.29</v>
      </c>
      <c r="F78" s="353">
        <f t="shared" si="3"/>
        <v>10.77</v>
      </c>
      <c r="G78" s="352">
        <v>10.77</v>
      </c>
      <c r="H78" s="354">
        <f t="shared" si="4"/>
        <v>478.27</v>
      </c>
      <c r="I78" s="171">
        <f t="shared" si="5"/>
        <v>5150.96</v>
      </c>
      <c r="J78" s="566"/>
      <c r="K78" s="131"/>
    </row>
    <row r="79" spans="1:11" ht="30.75" customHeight="1">
      <c r="A79" s="209" t="s">
        <v>238</v>
      </c>
      <c r="B79" s="247">
        <v>92874</v>
      </c>
      <c r="C79" s="153" t="s">
        <v>366</v>
      </c>
      <c r="D79" s="320" t="s">
        <v>49</v>
      </c>
      <c r="E79" s="1959">
        <v>26.68</v>
      </c>
      <c r="F79" s="353">
        <f t="shared" si="3"/>
        <v>10.77</v>
      </c>
      <c r="G79" s="352">
        <v>10.77</v>
      </c>
      <c r="H79" s="354">
        <f t="shared" si="4"/>
        <v>32.61</v>
      </c>
      <c r="I79" s="171">
        <f t="shared" si="5"/>
        <v>351.2</v>
      </c>
      <c r="J79" s="566"/>
      <c r="K79" s="131"/>
    </row>
    <row r="80" spans="1:11" ht="48" customHeight="1">
      <c r="A80" s="209" t="s">
        <v>239</v>
      </c>
      <c r="B80" s="247">
        <v>92775</v>
      </c>
      <c r="C80" s="153" t="s">
        <v>372</v>
      </c>
      <c r="D80" s="247" t="s">
        <v>101</v>
      </c>
      <c r="E80" s="1959">
        <v>20.23</v>
      </c>
      <c r="F80" s="353">
        <f t="shared" si="3"/>
        <v>137.9</v>
      </c>
      <c r="G80" s="352">
        <v>137.9</v>
      </c>
      <c r="H80" s="354">
        <f t="shared" si="4"/>
        <v>24.72</v>
      </c>
      <c r="I80" s="171">
        <f t="shared" si="5"/>
        <v>3408.88</v>
      </c>
      <c r="J80" s="566"/>
      <c r="K80" s="552"/>
    </row>
    <row r="81" spans="1:11" ht="48.75" customHeight="1">
      <c r="A81" s="209" t="s">
        <v>240</v>
      </c>
      <c r="B81" s="247">
        <v>92776</v>
      </c>
      <c r="C81" s="153" t="s">
        <v>373</v>
      </c>
      <c r="D81" s="247" t="s">
        <v>101</v>
      </c>
      <c r="E81" s="1959">
        <v>19.71</v>
      </c>
      <c r="F81" s="353">
        <f t="shared" si="3"/>
        <v>131.5</v>
      </c>
      <c r="G81" s="352">
        <v>131.5</v>
      </c>
      <c r="H81" s="354">
        <f t="shared" si="4"/>
        <v>24.09</v>
      </c>
      <c r="I81" s="171">
        <f t="shared" si="5"/>
        <v>3167.83</v>
      </c>
      <c r="J81" s="566"/>
      <c r="K81" s="552"/>
    </row>
    <row r="82" spans="1:11" ht="50.25" customHeight="1">
      <c r="A82" s="209" t="s">
        <v>241</v>
      </c>
      <c r="B82" s="247">
        <v>92777</v>
      </c>
      <c r="C82" s="153" t="s">
        <v>374</v>
      </c>
      <c r="D82" s="247" t="s">
        <v>101</v>
      </c>
      <c r="E82" s="1959">
        <v>18.899999999999999</v>
      </c>
      <c r="F82" s="353">
        <f t="shared" si="3"/>
        <v>54.8</v>
      </c>
      <c r="G82" s="352">
        <v>54.8</v>
      </c>
      <c r="H82" s="354">
        <f t="shared" si="4"/>
        <v>23.1</v>
      </c>
      <c r="I82" s="171">
        <f t="shared" si="5"/>
        <v>1265.8800000000001</v>
      </c>
      <c r="J82" s="566"/>
      <c r="K82" s="552"/>
    </row>
    <row r="83" spans="1:11" ht="48.75" customHeight="1">
      <c r="A83" s="209" t="s">
        <v>242</v>
      </c>
      <c r="B83" s="247">
        <v>92778</v>
      </c>
      <c r="C83" s="153" t="s">
        <v>375</v>
      </c>
      <c r="D83" s="247" t="s">
        <v>101</v>
      </c>
      <c r="E83" s="1959">
        <v>17.059999999999999</v>
      </c>
      <c r="F83" s="353">
        <f t="shared" si="3"/>
        <v>329.4</v>
      </c>
      <c r="G83" s="352">
        <v>329.4</v>
      </c>
      <c r="H83" s="354">
        <f t="shared" si="4"/>
        <v>20.85</v>
      </c>
      <c r="I83" s="171">
        <f t="shared" si="5"/>
        <v>6867.99</v>
      </c>
      <c r="J83" s="567"/>
      <c r="K83" s="552"/>
    </row>
    <row r="84" spans="1:11" ht="48.75" customHeight="1">
      <c r="A84" s="209" t="s">
        <v>780</v>
      </c>
      <c r="B84" s="247">
        <v>92779</v>
      </c>
      <c r="C84" s="701" t="s">
        <v>779</v>
      </c>
      <c r="D84" s="247" t="s">
        <v>101</v>
      </c>
      <c r="E84" s="1959">
        <v>14.45</v>
      </c>
      <c r="F84" s="353">
        <f t="shared" si="3"/>
        <v>21.5</v>
      </c>
      <c r="G84" s="352">
        <v>21.5</v>
      </c>
      <c r="H84" s="354">
        <f t="shared" si="4"/>
        <v>17.66</v>
      </c>
      <c r="I84" s="171">
        <f t="shared" si="5"/>
        <v>379.69</v>
      </c>
      <c r="J84" s="567"/>
      <c r="K84" s="552"/>
    </row>
    <row r="85" spans="1:11" ht="48.75" customHeight="1">
      <c r="A85" s="209" t="s">
        <v>781</v>
      </c>
      <c r="B85" s="247">
        <v>92780</v>
      </c>
      <c r="C85" s="701" t="s">
        <v>778</v>
      </c>
      <c r="D85" s="247" t="s">
        <v>101</v>
      </c>
      <c r="E85" s="1959">
        <v>13.85</v>
      </c>
      <c r="F85" s="353">
        <f t="shared" si="3"/>
        <v>90.4</v>
      </c>
      <c r="G85" s="352">
        <v>90.4</v>
      </c>
      <c r="H85" s="354">
        <f t="shared" si="4"/>
        <v>16.920000000000002</v>
      </c>
      <c r="I85" s="171">
        <f t="shared" si="5"/>
        <v>1529.56</v>
      </c>
      <c r="J85" s="567"/>
      <c r="K85" s="552"/>
    </row>
    <row r="86" spans="1:11" ht="48.75" customHeight="1">
      <c r="A86" s="209" t="s">
        <v>782</v>
      </c>
      <c r="B86" s="247">
        <v>92781</v>
      </c>
      <c r="C86" s="701" t="s">
        <v>783</v>
      </c>
      <c r="D86" s="247" t="s">
        <v>101</v>
      </c>
      <c r="E86" s="1959">
        <v>15.67</v>
      </c>
      <c r="F86" s="353">
        <f t="shared" si="3"/>
        <v>40.200000000000003</v>
      </c>
      <c r="G86" s="352">
        <v>40.200000000000003</v>
      </c>
      <c r="H86" s="354">
        <f t="shared" si="4"/>
        <v>19.149999999999999</v>
      </c>
      <c r="I86" s="171">
        <f t="shared" si="5"/>
        <v>769.83</v>
      </c>
      <c r="J86" s="567"/>
      <c r="K86" s="717"/>
    </row>
    <row r="87" spans="1:11" ht="18.75" customHeight="1">
      <c r="A87" s="375" t="s">
        <v>784</v>
      </c>
      <c r="B87" s="317"/>
      <c r="C87" s="319" t="s">
        <v>785</v>
      </c>
      <c r="D87" s="317"/>
      <c r="E87" s="961"/>
      <c r="F87" s="962" t="str">
        <f>IF(OR(E87&lt;=0)," ",TRUNC(G87,2))</f>
        <v xml:space="preserve"> </v>
      </c>
      <c r="G87" s="722"/>
      <c r="H87" s="722" t="str">
        <f>IF(OR(E87&lt;=0)," ",TRUNC((E87*(1+$I$9)),2))</f>
        <v xml:space="preserve"> </v>
      </c>
      <c r="I87" s="318" t="str">
        <f>IF(OR(E87&lt;=0)," ",TRUNC((H87*F87),2))</f>
        <v xml:space="preserve"> </v>
      </c>
      <c r="J87" s="850"/>
      <c r="K87" s="131"/>
    </row>
    <row r="88" spans="1:11" ht="41.25" customHeight="1">
      <c r="A88" s="733" t="s">
        <v>786</v>
      </c>
      <c r="B88" s="247">
        <v>92479</v>
      </c>
      <c r="C88" s="153" t="s">
        <v>369</v>
      </c>
      <c r="D88" s="247" t="s">
        <v>48</v>
      </c>
      <c r="E88" s="1960">
        <v>46.72</v>
      </c>
      <c r="F88" s="1831">
        <f t="shared" si="3"/>
        <v>32.53</v>
      </c>
      <c r="G88" s="947">
        <v>32.53</v>
      </c>
      <c r="H88" s="1832">
        <f t="shared" si="4"/>
        <v>57.1</v>
      </c>
      <c r="I88" s="1697">
        <f t="shared" si="5"/>
        <v>1857.46</v>
      </c>
      <c r="J88" s="346"/>
      <c r="K88" s="131"/>
    </row>
    <row r="89" spans="1:11" ht="34.5" customHeight="1">
      <c r="A89" s="733" t="s">
        <v>787</v>
      </c>
      <c r="B89" s="247">
        <v>94965</v>
      </c>
      <c r="C89" s="1660" t="s">
        <v>365</v>
      </c>
      <c r="D89" s="320" t="s">
        <v>49</v>
      </c>
      <c r="E89" s="1960">
        <v>391.29</v>
      </c>
      <c r="F89" s="1831">
        <f t="shared" si="3"/>
        <v>1.88</v>
      </c>
      <c r="G89" s="947">
        <v>1.88</v>
      </c>
      <c r="H89" s="1832">
        <f t="shared" si="4"/>
        <v>478.27</v>
      </c>
      <c r="I89" s="1697">
        <f t="shared" si="5"/>
        <v>899.14</v>
      </c>
      <c r="J89" s="346"/>
      <c r="K89" s="131"/>
    </row>
    <row r="90" spans="1:11" ht="33.75" customHeight="1">
      <c r="A90" s="733" t="s">
        <v>789</v>
      </c>
      <c r="B90" s="247">
        <v>92874</v>
      </c>
      <c r="C90" s="153" t="s">
        <v>366</v>
      </c>
      <c r="D90" s="320" t="s">
        <v>49</v>
      </c>
      <c r="E90" s="1960">
        <v>26.68</v>
      </c>
      <c r="F90" s="1831">
        <f t="shared" si="3"/>
        <v>1.88</v>
      </c>
      <c r="G90" s="947">
        <v>1.88</v>
      </c>
      <c r="H90" s="1832">
        <f t="shared" si="4"/>
        <v>32.61</v>
      </c>
      <c r="I90" s="1697">
        <f t="shared" si="5"/>
        <v>61.3</v>
      </c>
      <c r="J90" s="346"/>
      <c r="K90" s="131"/>
    </row>
    <row r="91" spans="1:11" ht="50.25" customHeight="1">
      <c r="A91" s="733" t="s">
        <v>790</v>
      </c>
      <c r="B91" s="247">
        <v>92775</v>
      </c>
      <c r="C91" s="153" t="s">
        <v>372</v>
      </c>
      <c r="D91" s="247" t="s">
        <v>101</v>
      </c>
      <c r="E91" s="1960">
        <v>20.23</v>
      </c>
      <c r="F91" s="1831">
        <f t="shared" si="3"/>
        <v>34.1</v>
      </c>
      <c r="G91" s="947">
        <v>34.1</v>
      </c>
      <c r="H91" s="1832">
        <f t="shared" si="4"/>
        <v>24.72</v>
      </c>
      <c r="I91" s="1697">
        <f t="shared" si="5"/>
        <v>842.95</v>
      </c>
      <c r="J91" s="346"/>
      <c r="K91" s="131"/>
    </row>
    <row r="92" spans="1:11" ht="41.25" customHeight="1">
      <c r="A92" s="733" t="s">
        <v>788</v>
      </c>
      <c r="B92" s="247">
        <v>92777</v>
      </c>
      <c r="C92" s="153" t="s">
        <v>374</v>
      </c>
      <c r="D92" s="247" t="s">
        <v>101</v>
      </c>
      <c r="E92" s="1960">
        <v>18.899999999999999</v>
      </c>
      <c r="F92" s="1831">
        <f t="shared" si="3"/>
        <v>73.7</v>
      </c>
      <c r="G92" s="947">
        <v>73.7</v>
      </c>
      <c r="H92" s="1832">
        <f t="shared" si="4"/>
        <v>23.1</v>
      </c>
      <c r="I92" s="1697">
        <f t="shared" si="5"/>
        <v>1702.47</v>
      </c>
      <c r="J92" s="346"/>
      <c r="K92" s="131"/>
    </row>
    <row r="93" spans="1:11" ht="18.75" customHeight="1" thickBot="1">
      <c r="A93" s="734"/>
      <c r="B93" s="735"/>
      <c r="C93" s="736"/>
      <c r="D93" s="737"/>
      <c r="E93" s="963"/>
      <c r="F93" s="964"/>
      <c r="G93" s="965"/>
      <c r="H93" s="956" t="s">
        <v>16</v>
      </c>
      <c r="I93" s="178">
        <f>TRUNC(SUM(I41:I92),2)</f>
        <v>216484.34</v>
      </c>
      <c r="J93" s="346"/>
      <c r="K93" s="131"/>
    </row>
    <row r="94" spans="1:11">
      <c r="A94" s="622">
        <v>5</v>
      </c>
      <c r="B94" s="623"/>
      <c r="C94" s="624" t="s">
        <v>791</v>
      </c>
      <c r="D94" s="625"/>
      <c r="E94" s="957"/>
      <c r="F94" s="958"/>
      <c r="G94" s="959"/>
      <c r="H94" s="959"/>
      <c r="I94" s="628"/>
      <c r="J94" s="482" t="s">
        <v>919</v>
      </c>
      <c r="K94" s="131"/>
    </row>
    <row r="95" spans="1:11" ht="61.5" customHeight="1">
      <c r="A95" s="209" t="s">
        <v>24</v>
      </c>
      <c r="B95" s="247">
        <v>87523</v>
      </c>
      <c r="C95" s="153" t="s">
        <v>1250</v>
      </c>
      <c r="D95" s="247" t="s">
        <v>48</v>
      </c>
      <c r="E95" s="1959">
        <v>84.86</v>
      </c>
      <c r="F95" s="353">
        <f t="shared" ref="F95:F105" si="6">IF(OR(E95&lt;=0)," ",TRUNC(G95,2))</f>
        <v>204.82</v>
      </c>
      <c r="G95" s="352">
        <v>204.82</v>
      </c>
      <c r="H95" s="354">
        <f t="shared" ref="H95:H105" si="7">IF(OR(E95&lt;=0)," ",TRUNC((E95*(1+$I$9)),2))</f>
        <v>103.72</v>
      </c>
      <c r="I95" s="171">
        <f t="shared" ref="I95:I105" si="8">IF(OR(E95&lt;=0)," ",TRUNC((H95*F95),2))</f>
        <v>21243.93</v>
      </c>
      <c r="J95" s="775"/>
      <c r="K95" s="131"/>
    </row>
    <row r="96" spans="1:11" ht="61.5" customHeight="1">
      <c r="A96" s="1833" t="s">
        <v>796</v>
      </c>
      <c r="B96" s="247">
        <v>87507</v>
      </c>
      <c r="C96" s="153" t="s">
        <v>554</v>
      </c>
      <c r="D96" s="247" t="s">
        <v>48</v>
      </c>
      <c r="E96" s="1959">
        <v>77.680000000000007</v>
      </c>
      <c r="F96" s="353">
        <f t="shared" si="6"/>
        <v>263.29000000000002</v>
      </c>
      <c r="G96" s="352">
        <v>263.29000000000002</v>
      </c>
      <c r="H96" s="354">
        <f t="shared" si="7"/>
        <v>94.94</v>
      </c>
      <c r="I96" s="171">
        <f t="shared" si="8"/>
        <v>24996.75</v>
      </c>
      <c r="J96" s="346"/>
      <c r="K96" s="131"/>
    </row>
    <row r="97" spans="1:11" ht="63" customHeight="1">
      <c r="A97" s="209" t="s">
        <v>903</v>
      </c>
      <c r="B97" s="247">
        <v>87515</v>
      </c>
      <c r="C97" s="153" t="s">
        <v>555</v>
      </c>
      <c r="D97" s="247" t="s">
        <v>48</v>
      </c>
      <c r="E97" s="1959">
        <v>103.33</v>
      </c>
      <c r="F97" s="353">
        <f t="shared" si="6"/>
        <v>17.52</v>
      </c>
      <c r="G97" s="352">
        <v>17.52</v>
      </c>
      <c r="H97" s="354">
        <f t="shared" si="7"/>
        <v>126.3</v>
      </c>
      <c r="I97" s="171">
        <f t="shared" si="8"/>
        <v>2212.77</v>
      </c>
      <c r="J97" s="346"/>
      <c r="K97" s="131"/>
    </row>
    <row r="98" spans="1:11" ht="61.5" customHeight="1">
      <c r="A98" s="209" t="s">
        <v>904</v>
      </c>
      <c r="B98" s="247">
        <v>87499</v>
      </c>
      <c r="C98" s="153" t="s">
        <v>556</v>
      </c>
      <c r="D98" s="247" t="s">
        <v>48</v>
      </c>
      <c r="E98" s="1959">
        <v>91.68</v>
      </c>
      <c r="F98" s="353">
        <f t="shared" si="6"/>
        <v>69.86</v>
      </c>
      <c r="G98" s="352">
        <v>69.86</v>
      </c>
      <c r="H98" s="354">
        <f t="shared" si="7"/>
        <v>112.06</v>
      </c>
      <c r="I98" s="171">
        <f t="shared" si="8"/>
        <v>7828.51</v>
      </c>
      <c r="J98" s="346"/>
      <c r="K98" s="474"/>
    </row>
    <row r="99" spans="1:11" ht="48" customHeight="1">
      <c r="A99" s="209" t="s">
        <v>905</v>
      </c>
      <c r="B99" s="247">
        <v>101161</v>
      </c>
      <c r="C99" s="153" t="s">
        <v>1049</v>
      </c>
      <c r="D99" s="247" t="s">
        <v>48</v>
      </c>
      <c r="E99" s="1959">
        <v>164.62</v>
      </c>
      <c r="F99" s="353">
        <f t="shared" si="6"/>
        <v>10.53</v>
      </c>
      <c r="G99" s="352">
        <v>10.53</v>
      </c>
      <c r="H99" s="354">
        <f t="shared" si="7"/>
        <v>201.21</v>
      </c>
      <c r="I99" s="171">
        <f t="shared" si="8"/>
        <v>2118.7399999999998</v>
      </c>
      <c r="J99" s="775"/>
      <c r="K99" s="474"/>
    </row>
    <row r="100" spans="1:11" ht="32.25" customHeight="1">
      <c r="A100" s="209" t="s">
        <v>906</v>
      </c>
      <c r="B100" s="247">
        <v>93192</v>
      </c>
      <c r="C100" s="153" t="s">
        <v>360</v>
      </c>
      <c r="D100" s="247" t="s">
        <v>56</v>
      </c>
      <c r="E100" s="1959">
        <v>42.54</v>
      </c>
      <c r="F100" s="353">
        <f t="shared" si="6"/>
        <v>30</v>
      </c>
      <c r="G100" s="352">
        <v>30</v>
      </c>
      <c r="H100" s="354">
        <f t="shared" si="7"/>
        <v>51.99</v>
      </c>
      <c r="I100" s="171">
        <f t="shared" si="8"/>
        <v>1559.7</v>
      </c>
      <c r="J100" s="376"/>
      <c r="K100" s="773" t="s">
        <v>1033</v>
      </c>
    </row>
    <row r="101" spans="1:11" ht="34.5" customHeight="1">
      <c r="A101" s="209" t="s">
        <v>907</v>
      </c>
      <c r="B101" s="247">
        <v>93193</v>
      </c>
      <c r="C101" s="153" t="s">
        <v>361</v>
      </c>
      <c r="D101" s="247" t="s">
        <v>56</v>
      </c>
      <c r="E101" s="1959">
        <v>42.67</v>
      </c>
      <c r="F101" s="353">
        <f t="shared" si="6"/>
        <v>3.36</v>
      </c>
      <c r="G101" s="352">
        <v>3.36</v>
      </c>
      <c r="H101" s="354">
        <f t="shared" si="7"/>
        <v>52.15</v>
      </c>
      <c r="I101" s="171">
        <f t="shared" si="8"/>
        <v>175.22</v>
      </c>
      <c r="J101" s="347"/>
      <c r="K101" s="774"/>
    </row>
    <row r="102" spans="1:11" ht="35.25" customHeight="1">
      <c r="A102" s="209" t="s">
        <v>908</v>
      </c>
      <c r="B102" s="247">
        <v>93190</v>
      </c>
      <c r="C102" s="153" t="s">
        <v>359</v>
      </c>
      <c r="D102" s="247" t="s">
        <v>56</v>
      </c>
      <c r="E102" s="1959">
        <v>38.35</v>
      </c>
      <c r="F102" s="353">
        <f t="shared" si="6"/>
        <v>34.299999999999997</v>
      </c>
      <c r="G102" s="352">
        <v>34.299999999999997</v>
      </c>
      <c r="H102" s="354">
        <f t="shared" si="7"/>
        <v>46.87</v>
      </c>
      <c r="I102" s="171">
        <f t="shared" si="8"/>
        <v>1607.64</v>
      </c>
      <c r="J102" s="347"/>
      <c r="K102" s="683" t="s">
        <v>1034</v>
      </c>
    </row>
    <row r="103" spans="1:11" ht="35.25" customHeight="1">
      <c r="A103" s="209" t="s">
        <v>909</v>
      </c>
      <c r="B103" s="247">
        <v>93187</v>
      </c>
      <c r="C103" s="153" t="s">
        <v>1048</v>
      </c>
      <c r="D103" s="247" t="s">
        <v>56</v>
      </c>
      <c r="E103" s="1959">
        <v>70.78</v>
      </c>
      <c r="F103" s="353">
        <f t="shared" si="6"/>
        <v>23</v>
      </c>
      <c r="G103" s="352">
        <v>23</v>
      </c>
      <c r="H103" s="354">
        <f t="shared" si="7"/>
        <v>86.51</v>
      </c>
      <c r="I103" s="171">
        <f t="shared" si="8"/>
        <v>1989.73</v>
      </c>
      <c r="J103" s="347"/>
      <c r="K103" s="131"/>
    </row>
    <row r="104" spans="1:11" ht="36" customHeight="1">
      <c r="A104" s="209" t="s">
        <v>1035</v>
      </c>
      <c r="B104" s="247">
        <v>93198</v>
      </c>
      <c r="C104" s="153" t="s">
        <v>362</v>
      </c>
      <c r="D104" s="247" t="s">
        <v>56</v>
      </c>
      <c r="E104" s="1959">
        <v>34.049999999999997</v>
      </c>
      <c r="F104" s="353">
        <f t="shared" si="6"/>
        <v>34.299999999999997</v>
      </c>
      <c r="G104" s="352">
        <v>34.299999999999997</v>
      </c>
      <c r="H104" s="354">
        <f t="shared" si="7"/>
        <v>41.61</v>
      </c>
      <c r="I104" s="171">
        <f t="shared" si="8"/>
        <v>1427.22</v>
      </c>
      <c r="J104" s="411"/>
      <c r="K104" s="683" t="s">
        <v>1034</v>
      </c>
    </row>
    <row r="105" spans="1:11" ht="31.5" customHeight="1">
      <c r="A105" s="209" t="s">
        <v>1036</v>
      </c>
      <c r="B105" s="247">
        <v>93199</v>
      </c>
      <c r="C105" s="153" t="s">
        <v>363</v>
      </c>
      <c r="D105" s="247" t="s">
        <v>56</v>
      </c>
      <c r="E105" s="1959">
        <v>33.61</v>
      </c>
      <c r="F105" s="353">
        <f t="shared" si="6"/>
        <v>23</v>
      </c>
      <c r="G105" s="352">
        <v>23</v>
      </c>
      <c r="H105" s="354">
        <f t="shared" si="7"/>
        <v>41.08</v>
      </c>
      <c r="I105" s="171">
        <f t="shared" si="8"/>
        <v>944.84</v>
      </c>
      <c r="J105" s="205"/>
      <c r="K105" s="131"/>
    </row>
    <row r="106" spans="1:11" ht="15.75" thickBot="1">
      <c r="A106" s="344"/>
      <c r="B106" s="1834"/>
      <c r="C106" s="1835"/>
      <c r="D106" s="1834"/>
      <c r="E106" s="1836"/>
      <c r="F106" s="1837"/>
      <c r="G106" s="1838"/>
      <c r="H106" s="1839" t="s">
        <v>16</v>
      </c>
      <c r="I106" s="1840">
        <f>TRUNC(SUM(I95:I105),2)</f>
        <v>66105.05</v>
      </c>
      <c r="J106" s="205"/>
      <c r="K106" s="131"/>
    </row>
    <row r="107" spans="1:11">
      <c r="A107" s="622">
        <v>6</v>
      </c>
      <c r="B107" s="623"/>
      <c r="C107" s="624" t="s">
        <v>207</v>
      </c>
      <c r="D107" s="625"/>
      <c r="E107" s="957"/>
      <c r="F107" s="958"/>
      <c r="G107" s="959"/>
      <c r="H107" s="959"/>
      <c r="I107" s="628"/>
      <c r="J107" s="850"/>
      <c r="K107" s="131"/>
    </row>
    <row r="108" spans="1:11" ht="31.5" customHeight="1">
      <c r="A108" s="209" t="s">
        <v>69</v>
      </c>
      <c r="B108" s="247" t="s">
        <v>109</v>
      </c>
      <c r="C108" s="252" t="s">
        <v>1038</v>
      </c>
      <c r="D108" s="247" t="s">
        <v>48</v>
      </c>
      <c r="E108" s="1959">
        <v>11.73</v>
      </c>
      <c r="F108" s="353">
        <f t="shared" ref="F108:F114" si="9">IF(OR(E108&lt;=0)," ",TRUNC(G108,2))</f>
        <v>246.05</v>
      </c>
      <c r="G108" s="352">
        <v>246.05</v>
      </c>
      <c r="H108" s="354">
        <f t="shared" ref="H108:H114" si="10">IF(OR(E108&lt;=0)," ",TRUNC((E108*(1+$I$9)),2))</f>
        <v>14.33</v>
      </c>
      <c r="I108" s="171">
        <f t="shared" ref="I108:I114" si="11">IF(OR(E108&lt;=0)," ",TRUNC((H108*F108),2))</f>
        <v>3525.89</v>
      </c>
      <c r="J108" s="839">
        <f>'COMP CIVIL'!F242</f>
        <v>11.73</v>
      </c>
      <c r="K108" s="131"/>
    </row>
    <row r="109" spans="1:11" ht="28.5">
      <c r="A109" s="209" t="s">
        <v>792</v>
      </c>
      <c r="B109" s="247">
        <v>95241</v>
      </c>
      <c r="C109" s="153" t="s">
        <v>553</v>
      </c>
      <c r="D109" s="247" t="s">
        <v>48</v>
      </c>
      <c r="E109" s="1959">
        <v>23.5</v>
      </c>
      <c r="F109" s="353">
        <f t="shared" si="9"/>
        <v>246.05</v>
      </c>
      <c r="G109" s="352">
        <v>246.05</v>
      </c>
      <c r="H109" s="354">
        <f t="shared" si="10"/>
        <v>28.72</v>
      </c>
      <c r="I109" s="171">
        <f t="shared" si="11"/>
        <v>7066.55</v>
      </c>
      <c r="J109" s="205"/>
      <c r="K109" s="131"/>
    </row>
    <row r="110" spans="1:11" ht="74.25" customHeight="1">
      <c r="A110" s="209" t="s">
        <v>910</v>
      </c>
      <c r="B110" s="247">
        <v>94438</v>
      </c>
      <c r="C110" s="768" t="s">
        <v>1037</v>
      </c>
      <c r="D110" s="247" t="s">
        <v>48</v>
      </c>
      <c r="E110" s="1959">
        <v>37.700000000000003</v>
      </c>
      <c r="F110" s="353">
        <f t="shared" si="9"/>
        <v>246.05</v>
      </c>
      <c r="G110" s="352">
        <v>246.05</v>
      </c>
      <c r="H110" s="354">
        <f t="shared" si="10"/>
        <v>46.08</v>
      </c>
      <c r="I110" s="171">
        <f t="shared" si="11"/>
        <v>11337.98</v>
      </c>
      <c r="J110" s="205"/>
      <c r="K110" s="131"/>
    </row>
    <row r="111" spans="1:11" ht="43.5" customHeight="1">
      <c r="A111" s="209" t="s">
        <v>911</v>
      </c>
      <c r="B111" s="247">
        <v>87261</v>
      </c>
      <c r="C111" s="153" t="s">
        <v>1040</v>
      </c>
      <c r="D111" s="247" t="s">
        <v>48</v>
      </c>
      <c r="E111" s="1959">
        <v>127.56</v>
      </c>
      <c r="F111" s="353">
        <f t="shared" si="9"/>
        <v>8.74</v>
      </c>
      <c r="G111" s="352">
        <v>8.74</v>
      </c>
      <c r="H111" s="354">
        <f t="shared" si="10"/>
        <v>155.91</v>
      </c>
      <c r="I111" s="171">
        <f t="shared" si="11"/>
        <v>1362.65</v>
      </c>
      <c r="J111" s="205"/>
      <c r="K111" s="131"/>
    </row>
    <row r="112" spans="1:11" ht="45.75" customHeight="1">
      <c r="A112" s="209" t="s">
        <v>912</v>
      </c>
      <c r="B112" s="247">
        <v>87262</v>
      </c>
      <c r="C112" s="153" t="s">
        <v>1041</v>
      </c>
      <c r="D112" s="247" t="s">
        <v>48</v>
      </c>
      <c r="E112" s="1959">
        <v>116.03</v>
      </c>
      <c r="F112" s="353">
        <f t="shared" si="9"/>
        <v>23.06</v>
      </c>
      <c r="G112" s="352">
        <v>23.06</v>
      </c>
      <c r="H112" s="354">
        <f t="shared" si="10"/>
        <v>141.82</v>
      </c>
      <c r="I112" s="171">
        <f t="shared" si="11"/>
        <v>3270.36</v>
      </c>
      <c r="J112" s="205"/>
      <c r="K112" s="131"/>
    </row>
    <row r="113" spans="1:11" ht="45.75" customHeight="1">
      <c r="A113" s="209" t="s">
        <v>913</v>
      </c>
      <c r="B113" s="247">
        <v>87263</v>
      </c>
      <c r="C113" s="153" t="s">
        <v>1042</v>
      </c>
      <c r="D113" s="247" t="s">
        <v>48</v>
      </c>
      <c r="E113" s="1959">
        <v>109.08</v>
      </c>
      <c r="F113" s="353">
        <f t="shared" si="9"/>
        <v>214.25</v>
      </c>
      <c r="G113" s="352">
        <v>214.25</v>
      </c>
      <c r="H113" s="354">
        <f t="shared" si="10"/>
        <v>133.32</v>
      </c>
      <c r="I113" s="171">
        <f t="shared" si="11"/>
        <v>28563.81</v>
      </c>
      <c r="J113" s="205"/>
      <c r="K113" s="131"/>
    </row>
    <row r="114" spans="1:11" ht="31.5" customHeight="1">
      <c r="A114" s="209" t="s">
        <v>914</v>
      </c>
      <c r="B114" s="247" t="s">
        <v>110</v>
      </c>
      <c r="C114" s="153" t="s">
        <v>1044</v>
      </c>
      <c r="D114" s="247" t="s">
        <v>56</v>
      </c>
      <c r="E114" s="1959">
        <v>54.39</v>
      </c>
      <c r="F114" s="970">
        <f t="shared" si="9"/>
        <v>131.9</v>
      </c>
      <c r="G114" s="352">
        <v>131.9</v>
      </c>
      <c r="H114" s="354">
        <f t="shared" si="10"/>
        <v>66.48</v>
      </c>
      <c r="I114" s="171">
        <f t="shared" si="11"/>
        <v>8768.7099999999991</v>
      </c>
      <c r="J114" s="573">
        <f>'COMP CIVIL'!F255</f>
        <v>54.39</v>
      </c>
      <c r="K114" s="131"/>
    </row>
    <row r="115" spans="1:11" ht="15.75" thickBot="1">
      <c r="A115" s="344"/>
      <c r="B115" s="179"/>
      <c r="C115" s="345"/>
      <c r="D115" s="179"/>
      <c r="E115" s="966"/>
      <c r="F115" s="967"/>
      <c r="G115" s="968"/>
      <c r="H115" s="969" t="s">
        <v>16</v>
      </c>
      <c r="I115" s="212">
        <f>TRUNC(SUM(I108:I114),2)</f>
        <v>63895.95</v>
      </c>
      <c r="J115" s="205"/>
      <c r="K115" s="131"/>
    </row>
    <row r="116" spans="1:11">
      <c r="A116" s="622">
        <v>7</v>
      </c>
      <c r="B116" s="623"/>
      <c r="C116" s="624" t="s">
        <v>208</v>
      </c>
      <c r="D116" s="625"/>
      <c r="E116" s="957"/>
      <c r="F116" s="958" t="str">
        <f t="shared" ref="F116:F126" si="12">IF(OR(E116&lt;=0)," ",TRUNC(G116,2))</f>
        <v xml:space="preserve"> </v>
      </c>
      <c r="G116" s="959"/>
      <c r="H116" s="959" t="str">
        <f t="shared" ref="H116:H126" si="13">IF(OR(E116&lt;=0)," ",TRUNC((E116*(1+$I$9)),2))</f>
        <v xml:space="preserve"> </v>
      </c>
      <c r="I116" s="628" t="str">
        <f t="shared" ref="I116:I126" si="14">IF(OR(E116&lt;=0)," ",TRUNC((H116*F116),2))</f>
        <v xml:space="preserve"> </v>
      </c>
      <c r="J116" s="850"/>
      <c r="K116" s="131"/>
    </row>
    <row r="117" spans="1:11" ht="44.25" customHeight="1">
      <c r="A117" s="209" t="s">
        <v>45</v>
      </c>
      <c r="B117" s="1841">
        <v>87904</v>
      </c>
      <c r="C117" s="153" t="s">
        <v>1079</v>
      </c>
      <c r="D117" s="247" t="s">
        <v>48</v>
      </c>
      <c r="E117" s="1959">
        <v>7.21</v>
      </c>
      <c r="F117" s="353">
        <f t="shared" si="12"/>
        <v>514.19000000000005</v>
      </c>
      <c r="G117" s="352">
        <v>514.19000000000005</v>
      </c>
      <c r="H117" s="354">
        <f t="shared" si="13"/>
        <v>8.81</v>
      </c>
      <c r="I117" s="171">
        <f t="shared" si="14"/>
        <v>4530.01</v>
      </c>
      <c r="J117" s="205"/>
      <c r="K117" s="683" t="s">
        <v>1080</v>
      </c>
    </row>
    <row r="118" spans="1:11" ht="44.25" customHeight="1">
      <c r="A118" s="209" t="s">
        <v>74</v>
      </c>
      <c r="B118" s="1841">
        <v>87879</v>
      </c>
      <c r="C118" s="153" t="s">
        <v>607</v>
      </c>
      <c r="D118" s="247" t="s">
        <v>48</v>
      </c>
      <c r="E118" s="1959">
        <v>3.21</v>
      </c>
      <c r="F118" s="353">
        <f>IF(OR(E118&lt;=0)," ",TRUNC(G118,2))</f>
        <v>925.09</v>
      </c>
      <c r="G118" s="352">
        <v>925.09</v>
      </c>
      <c r="H118" s="354">
        <f t="shared" si="13"/>
        <v>3.92</v>
      </c>
      <c r="I118" s="171">
        <f t="shared" si="14"/>
        <v>3626.35</v>
      </c>
      <c r="J118" s="568"/>
      <c r="K118" s="795" t="s">
        <v>1091</v>
      </c>
    </row>
    <row r="119" spans="1:11" ht="54.75" customHeight="1">
      <c r="A119" s="209" t="s">
        <v>75</v>
      </c>
      <c r="B119" s="247">
        <v>87528</v>
      </c>
      <c r="C119" s="153" t="s">
        <v>1082</v>
      </c>
      <c r="D119" s="247" t="s">
        <v>48</v>
      </c>
      <c r="E119" s="1959">
        <v>33.97</v>
      </c>
      <c r="F119" s="353">
        <f>IF(OR(E119&lt;=0)," ",TRUNC(G119,2))</f>
        <v>72.64</v>
      </c>
      <c r="G119" s="352">
        <v>72.64</v>
      </c>
      <c r="H119" s="354">
        <f>IF(OR(E119&lt;=0)," ",TRUNC((E119*(1+$I$9)),2))</f>
        <v>41.52</v>
      </c>
      <c r="I119" s="171">
        <f>IF(OR(E119&lt;=0)," ",TRUNC((H119*F119),2))</f>
        <v>3016.01</v>
      </c>
      <c r="J119" s="205"/>
      <c r="K119" s="795" t="s">
        <v>1092</v>
      </c>
    </row>
    <row r="120" spans="1:11" ht="61.5" customHeight="1">
      <c r="A120" s="209" t="s">
        <v>1251</v>
      </c>
      <c r="B120" s="247">
        <v>87532</v>
      </c>
      <c r="C120" s="322" t="s">
        <v>1071</v>
      </c>
      <c r="D120" s="247" t="s">
        <v>48</v>
      </c>
      <c r="E120" s="1959">
        <v>30.16</v>
      </c>
      <c r="F120" s="353">
        <f>IF(OR(E120&lt;=0)," ",TRUNC(G120,2))</f>
        <v>42.84</v>
      </c>
      <c r="G120" s="352">
        <v>42.84</v>
      </c>
      <c r="H120" s="354">
        <f>IF(OR(E120&lt;=0)," ",TRUNC((E120*(1+$I$9)),2))</f>
        <v>36.86</v>
      </c>
      <c r="I120" s="171">
        <f>IF(OR(E120&lt;=0)," ",TRUNC((H120*F120),2))</f>
        <v>1579.08</v>
      </c>
      <c r="J120" s="205"/>
      <c r="K120" s="795" t="s">
        <v>1093</v>
      </c>
    </row>
    <row r="121" spans="1:11" ht="60.75" customHeight="1">
      <c r="A121" s="209" t="s">
        <v>1252</v>
      </c>
      <c r="B121" s="247">
        <v>87536</v>
      </c>
      <c r="C121" s="153" t="s">
        <v>1072</v>
      </c>
      <c r="D121" s="247" t="s">
        <v>48</v>
      </c>
      <c r="E121" s="1959">
        <v>27.35</v>
      </c>
      <c r="F121" s="353">
        <f>IF(OR(E121&lt;=0)," ",TRUNC(G121,2))</f>
        <v>88.41</v>
      </c>
      <c r="G121" s="352">
        <v>88.41</v>
      </c>
      <c r="H121" s="354">
        <f>IF(OR(E121&lt;=0)," ",TRUNC((E121*(1+$I$9)),2))</f>
        <v>33.42</v>
      </c>
      <c r="I121" s="171">
        <f>IF(OR(E121&lt;=0)," ",TRUNC((H121*F121),2))</f>
        <v>2954.66</v>
      </c>
      <c r="J121" s="205"/>
      <c r="K121" s="683" t="s">
        <v>1094</v>
      </c>
    </row>
    <row r="122" spans="1:11" ht="29.25" customHeight="1">
      <c r="A122" s="209" t="s">
        <v>112</v>
      </c>
      <c r="B122" s="247" t="s">
        <v>1083</v>
      </c>
      <c r="C122" s="797" t="s">
        <v>1097</v>
      </c>
      <c r="D122" s="247" t="s">
        <v>48</v>
      </c>
      <c r="E122" s="1959">
        <v>162.35</v>
      </c>
      <c r="F122" s="353">
        <f t="shared" si="12"/>
        <v>108.24</v>
      </c>
      <c r="G122" s="352">
        <v>108.24</v>
      </c>
      <c r="H122" s="354">
        <f t="shared" si="13"/>
        <v>198.44</v>
      </c>
      <c r="I122" s="171">
        <f t="shared" si="14"/>
        <v>21479.14</v>
      </c>
      <c r="J122" s="573">
        <f>'COMP CIVIL'!F355</f>
        <v>162.35000000000002</v>
      </c>
      <c r="K122" s="549" t="s">
        <v>1011</v>
      </c>
    </row>
    <row r="123" spans="1:11" ht="65.25" customHeight="1">
      <c r="A123" s="209" t="s">
        <v>1253</v>
      </c>
      <c r="B123" s="247">
        <v>89173</v>
      </c>
      <c r="C123" s="251" t="s">
        <v>114</v>
      </c>
      <c r="D123" s="247" t="s">
        <v>48</v>
      </c>
      <c r="E123" s="1959">
        <v>27.52</v>
      </c>
      <c r="F123" s="353">
        <f t="shared" si="12"/>
        <v>446.89</v>
      </c>
      <c r="G123" s="352">
        <v>446.89</v>
      </c>
      <c r="H123" s="354">
        <f t="shared" si="13"/>
        <v>33.630000000000003</v>
      </c>
      <c r="I123" s="171">
        <f t="shared" si="14"/>
        <v>15028.91</v>
      </c>
      <c r="J123" s="569"/>
      <c r="K123" s="794" t="s">
        <v>1090</v>
      </c>
    </row>
    <row r="124" spans="1:11" ht="47.25" customHeight="1">
      <c r="A124" s="209" t="s">
        <v>1254</v>
      </c>
      <c r="B124" s="247">
        <v>90406</v>
      </c>
      <c r="C124" s="153" t="s">
        <v>400</v>
      </c>
      <c r="D124" s="247"/>
      <c r="E124" s="1959">
        <v>35.57</v>
      </c>
      <c r="F124" s="353">
        <f t="shared" si="12"/>
        <v>477.72</v>
      </c>
      <c r="G124" s="352">
        <v>477.72</v>
      </c>
      <c r="H124" s="354">
        <f t="shared" si="13"/>
        <v>43.47</v>
      </c>
      <c r="I124" s="171">
        <f t="shared" si="14"/>
        <v>20766.48</v>
      </c>
      <c r="J124" s="205"/>
      <c r="K124" s="793" t="s">
        <v>1089</v>
      </c>
    </row>
    <row r="125" spans="1:11" ht="42.75" customHeight="1">
      <c r="A125" s="209" t="s">
        <v>1255</v>
      </c>
      <c r="B125" s="247" t="s">
        <v>1073</v>
      </c>
      <c r="C125" s="153" t="s">
        <v>1074</v>
      </c>
      <c r="D125" s="327" t="s">
        <v>48</v>
      </c>
      <c r="E125" s="1959">
        <v>58.22</v>
      </c>
      <c r="F125" s="353">
        <f t="shared" si="12"/>
        <v>30.66</v>
      </c>
      <c r="G125" s="352">
        <v>30.66</v>
      </c>
      <c r="H125" s="354">
        <f t="shared" si="13"/>
        <v>71.16</v>
      </c>
      <c r="I125" s="171">
        <f t="shared" si="14"/>
        <v>2181.7600000000002</v>
      </c>
      <c r="J125" s="573">
        <f>'COMP CIVIL'!F329</f>
        <v>58.22</v>
      </c>
      <c r="K125" s="789" t="s">
        <v>1081</v>
      </c>
    </row>
    <row r="126" spans="1:11" ht="42.75" customHeight="1">
      <c r="A126" s="209" t="s">
        <v>1256</v>
      </c>
      <c r="B126" s="247" t="s">
        <v>1077</v>
      </c>
      <c r="C126" s="153" t="s">
        <v>1078</v>
      </c>
      <c r="D126" s="327" t="s">
        <v>48</v>
      </c>
      <c r="E126" s="1959">
        <v>61.03</v>
      </c>
      <c r="F126" s="353">
        <f t="shared" si="12"/>
        <v>64.989999999999995</v>
      </c>
      <c r="G126" s="352">
        <v>64.989999999999995</v>
      </c>
      <c r="H126" s="354">
        <f t="shared" si="13"/>
        <v>74.59</v>
      </c>
      <c r="I126" s="171">
        <f t="shared" si="14"/>
        <v>4847.6000000000004</v>
      </c>
      <c r="J126" s="573">
        <f>'COMP CIVIL'!F342</f>
        <v>61.03</v>
      </c>
      <c r="K126" s="789" t="s">
        <v>1081</v>
      </c>
    </row>
    <row r="127" spans="1:11" ht="15.75" thickBot="1">
      <c r="A127" s="719"/>
      <c r="B127" s="1834"/>
      <c r="C127" s="1842"/>
      <c r="D127" s="1843"/>
      <c r="E127" s="1844"/>
      <c r="F127" s="1837"/>
      <c r="G127" s="1838"/>
      <c r="H127" s="1839" t="s">
        <v>16</v>
      </c>
      <c r="I127" s="1840">
        <f>TRUNC(SUM(I117:I126),2)</f>
        <v>80010</v>
      </c>
      <c r="J127" s="205"/>
      <c r="K127" s="131"/>
    </row>
    <row r="128" spans="1:11">
      <c r="A128" s="757">
        <v>8</v>
      </c>
      <c r="B128" s="761"/>
      <c r="C128" s="624" t="s">
        <v>73</v>
      </c>
      <c r="D128" s="625"/>
      <c r="E128" s="957"/>
      <c r="F128" s="958" t="str">
        <f>IF(OR(E128&lt;=0)," ",TRUNC(G128,2))</f>
        <v xml:space="preserve"> </v>
      </c>
      <c r="G128" s="959"/>
      <c r="H128" s="959" t="str">
        <f>IF(OR(E128&lt;=0)," ",TRUNC((E128*(1+$I$9)),2))</f>
        <v xml:space="preserve"> </v>
      </c>
      <c r="I128" s="628" t="str">
        <f>IF(OR(E128&lt;=0)," ",TRUNC((H128*F128),2))</f>
        <v xml:space="preserve"> </v>
      </c>
      <c r="J128" s="205"/>
      <c r="K128" s="131"/>
    </row>
    <row r="129" spans="1:11" ht="15.75" customHeight="1">
      <c r="A129" s="758" t="s">
        <v>42</v>
      </c>
      <c r="B129" s="317"/>
      <c r="C129" s="1854" t="s">
        <v>797</v>
      </c>
      <c r="D129" s="317"/>
      <c r="E129" s="961"/>
      <c r="F129" s="962" t="str">
        <f>IF(OR(E129&lt;=0)," ",TRUNC(G129,2))</f>
        <v xml:space="preserve"> </v>
      </c>
      <c r="G129" s="722"/>
      <c r="H129" s="722" t="str">
        <f>IF(OR(E129&lt;=0)," ",TRUNC((E129*(1+$I$9)),2))</f>
        <v xml:space="preserve"> </v>
      </c>
      <c r="I129" s="318" t="str">
        <f>IF(OR(E129&lt;=0)," ",TRUNC((H129*F129),2))</f>
        <v xml:space="preserve"> </v>
      </c>
      <c r="J129" s="205"/>
      <c r="K129" s="542"/>
    </row>
    <row r="130" spans="1:11" ht="18" customHeight="1">
      <c r="A130" s="377" t="s">
        <v>799</v>
      </c>
      <c r="B130" s="152" t="s">
        <v>533</v>
      </c>
      <c r="C130" s="329" t="s">
        <v>1006</v>
      </c>
      <c r="D130" s="327" t="s">
        <v>57</v>
      </c>
      <c r="E130" s="1959">
        <v>1543.89</v>
      </c>
      <c r="F130" s="353">
        <f t="shared" ref="F130:F135" si="15">IF(OR(E130&lt;=0)," ",TRUNC(G130,2))</f>
        <v>1</v>
      </c>
      <c r="G130" s="352">
        <v>1</v>
      </c>
      <c r="H130" s="354">
        <f t="shared" ref="H130:H143" si="16">IF(OR(E130&lt;=0)," ",TRUNC((E130*(1+$I$9)),2))</f>
        <v>1887.09</v>
      </c>
      <c r="I130" s="171">
        <f t="shared" ref="I130:I143" si="17">IF(OR(E130&lt;=0)," ",TRUNC((H130*F130),2))</f>
        <v>1887.09</v>
      </c>
      <c r="J130" s="573">
        <f>'COMP CIVIL'!F142</f>
        <v>1543.8899999999999</v>
      </c>
      <c r="K130" s="543" t="s">
        <v>334</v>
      </c>
    </row>
    <row r="131" spans="1:11" ht="72" customHeight="1">
      <c r="A131" s="377" t="s">
        <v>800</v>
      </c>
      <c r="B131" s="247">
        <v>90845</v>
      </c>
      <c r="C131" s="153" t="s">
        <v>1007</v>
      </c>
      <c r="D131" s="327" t="s">
        <v>57</v>
      </c>
      <c r="E131" s="1959">
        <v>972.2</v>
      </c>
      <c r="F131" s="353">
        <f t="shared" si="15"/>
        <v>3</v>
      </c>
      <c r="G131" s="352">
        <v>3</v>
      </c>
      <c r="H131" s="354">
        <f t="shared" si="16"/>
        <v>1188.32</v>
      </c>
      <c r="I131" s="171">
        <f t="shared" si="17"/>
        <v>3564.96</v>
      </c>
      <c r="J131" s="205"/>
      <c r="K131" s="543" t="s">
        <v>1028</v>
      </c>
    </row>
    <row r="132" spans="1:11" ht="34.5" customHeight="1">
      <c r="A132" s="377" t="s">
        <v>1257</v>
      </c>
      <c r="B132" s="247" t="s">
        <v>531</v>
      </c>
      <c r="C132" s="153" t="s">
        <v>1025</v>
      </c>
      <c r="D132" s="327" t="s">
        <v>57</v>
      </c>
      <c r="E132" s="1959">
        <v>1350</v>
      </c>
      <c r="F132" s="353">
        <f t="shared" si="15"/>
        <v>1</v>
      </c>
      <c r="G132" s="352">
        <v>1</v>
      </c>
      <c r="H132" s="354">
        <f t="shared" si="16"/>
        <v>1650.1</v>
      </c>
      <c r="I132" s="171">
        <f t="shared" si="17"/>
        <v>1650.1</v>
      </c>
      <c r="J132" s="573">
        <f>'COMP CIVIL'!F107</f>
        <v>1350</v>
      </c>
      <c r="K132" s="543" t="s">
        <v>628</v>
      </c>
    </row>
    <row r="133" spans="1:11" ht="14.25" customHeight="1">
      <c r="A133" s="721" t="s">
        <v>134</v>
      </c>
      <c r="B133" s="317"/>
      <c r="C133" s="319" t="s">
        <v>798</v>
      </c>
      <c r="D133" s="317"/>
      <c r="E133" s="961"/>
      <c r="F133" s="962" t="str">
        <f t="shared" si="15"/>
        <v xml:space="preserve"> </v>
      </c>
      <c r="G133" s="722"/>
      <c r="H133" s="722" t="str">
        <f t="shared" si="16"/>
        <v xml:space="preserve"> </v>
      </c>
      <c r="I133" s="318" t="str">
        <f t="shared" si="17"/>
        <v xml:space="preserve"> </v>
      </c>
      <c r="J133" s="205"/>
      <c r="K133" s="563"/>
    </row>
    <row r="134" spans="1:11" ht="34.5" customHeight="1">
      <c r="A134" s="207" t="s">
        <v>1246</v>
      </c>
      <c r="B134" s="152">
        <v>101965</v>
      </c>
      <c r="C134" s="153" t="s">
        <v>1298</v>
      </c>
      <c r="D134" s="327" t="s">
        <v>56</v>
      </c>
      <c r="E134" s="1959">
        <v>108.56</v>
      </c>
      <c r="F134" s="353">
        <f t="shared" si="15"/>
        <v>31.5</v>
      </c>
      <c r="G134" s="352">
        <v>31.5</v>
      </c>
      <c r="H134" s="354">
        <f t="shared" si="16"/>
        <v>132.69</v>
      </c>
      <c r="I134" s="171">
        <f t="shared" si="17"/>
        <v>4179.7299999999996</v>
      </c>
      <c r="J134" s="205"/>
      <c r="K134" s="755"/>
    </row>
    <row r="135" spans="1:11" ht="18.75" customHeight="1">
      <c r="A135" s="207" t="s">
        <v>801</v>
      </c>
      <c r="B135" s="152">
        <v>98689</v>
      </c>
      <c r="C135" s="153" t="s">
        <v>364</v>
      </c>
      <c r="D135" s="327" t="s">
        <v>56</v>
      </c>
      <c r="E135" s="1959">
        <v>77.349999999999994</v>
      </c>
      <c r="F135" s="353">
        <f t="shared" si="15"/>
        <v>3.8</v>
      </c>
      <c r="G135" s="352">
        <v>3.8</v>
      </c>
      <c r="H135" s="354">
        <f t="shared" si="16"/>
        <v>94.54</v>
      </c>
      <c r="I135" s="171">
        <f t="shared" si="17"/>
        <v>359.25</v>
      </c>
      <c r="J135" s="205"/>
      <c r="K135" s="755"/>
    </row>
    <row r="136" spans="1:11" ht="33" customHeight="1">
      <c r="A136" s="207" t="s">
        <v>802</v>
      </c>
      <c r="B136" s="152" t="s">
        <v>1019</v>
      </c>
      <c r="C136" s="701" t="s">
        <v>1020</v>
      </c>
      <c r="D136" s="327" t="s">
        <v>57</v>
      </c>
      <c r="E136" s="1959">
        <v>3624.3</v>
      </c>
      <c r="F136" s="353">
        <f t="shared" ref="F136:F140" si="18">IF(OR(E136&lt;=0)," ",TRUNC(G136,2))</f>
        <v>2</v>
      </c>
      <c r="G136" s="352">
        <v>2</v>
      </c>
      <c r="H136" s="354">
        <f t="shared" si="16"/>
        <v>4429.9799999999996</v>
      </c>
      <c r="I136" s="171">
        <f t="shared" si="17"/>
        <v>8859.9599999999991</v>
      </c>
      <c r="J136" s="573">
        <f>'COMP CIVIL'!F90</f>
        <v>3624.3</v>
      </c>
      <c r="K136" s="549" t="s">
        <v>2254</v>
      </c>
    </row>
    <row r="137" spans="1:11" ht="35.25" customHeight="1">
      <c r="A137" s="207" t="s">
        <v>803</v>
      </c>
      <c r="B137" s="152">
        <v>91341</v>
      </c>
      <c r="C137" s="701" t="s">
        <v>1004</v>
      </c>
      <c r="D137" s="327" t="s">
        <v>48</v>
      </c>
      <c r="E137" s="1959">
        <v>508.52</v>
      </c>
      <c r="F137" s="353">
        <f t="shared" si="18"/>
        <v>10.49</v>
      </c>
      <c r="G137" s="352">
        <v>10.49</v>
      </c>
      <c r="H137" s="354">
        <f t="shared" si="16"/>
        <v>621.55999999999995</v>
      </c>
      <c r="I137" s="171">
        <f t="shared" si="17"/>
        <v>6520.16</v>
      </c>
      <c r="J137" s="205"/>
      <c r="K137" s="549" t="s">
        <v>1003</v>
      </c>
    </row>
    <row r="138" spans="1:11" ht="46.5" customHeight="1">
      <c r="A138" s="207" t="s">
        <v>804</v>
      </c>
      <c r="B138" s="152">
        <v>94569</v>
      </c>
      <c r="C138" s="153" t="s">
        <v>137</v>
      </c>
      <c r="D138" s="327" t="s">
        <v>48</v>
      </c>
      <c r="E138" s="1959">
        <v>810.39</v>
      </c>
      <c r="F138" s="353">
        <f t="shared" si="18"/>
        <v>24.84</v>
      </c>
      <c r="G138" s="352">
        <v>24.84</v>
      </c>
      <c r="H138" s="354">
        <f t="shared" si="16"/>
        <v>990.53</v>
      </c>
      <c r="I138" s="171">
        <f t="shared" si="17"/>
        <v>24604.76</v>
      </c>
      <c r="J138" s="205"/>
      <c r="K138" s="549" t="s">
        <v>1002</v>
      </c>
    </row>
    <row r="139" spans="1:11" ht="61.5" customHeight="1">
      <c r="A139" s="207" t="s">
        <v>805</v>
      </c>
      <c r="B139" s="152">
        <v>94570</v>
      </c>
      <c r="C139" s="153" t="s">
        <v>1297</v>
      </c>
      <c r="D139" s="327" t="s">
        <v>48</v>
      </c>
      <c r="E139" s="1959">
        <v>530.51</v>
      </c>
      <c r="F139" s="353">
        <f t="shared" si="18"/>
        <v>4.84</v>
      </c>
      <c r="G139" s="352">
        <v>4.84</v>
      </c>
      <c r="H139" s="354">
        <f t="shared" si="16"/>
        <v>648.44000000000005</v>
      </c>
      <c r="I139" s="171">
        <f t="shared" si="17"/>
        <v>3138.44</v>
      </c>
      <c r="J139" s="205"/>
      <c r="K139" s="756" t="s">
        <v>336</v>
      </c>
    </row>
    <row r="140" spans="1:11" ht="12.75" customHeight="1">
      <c r="A140" s="758" t="s">
        <v>135</v>
      </c>
      <c r="B140" s="317"/>
      <c r="C140" s="319" t="s">
        <v>1010</v>
      </c>
      <c r="D140" s="317"/>
      <c r="E140" s="961"/>
      <c r="F140" s="962" t="str">
        <f t="shared" si="18"/>
        <v xml:space="preserve"> </v>
      </c>
      <c r="G140" s="722"/>
      <c r="H140" s="722" t="str">
        <f>IF(OR(E140&lt;=0)," ",TRUNC((E140*(1+$I$9)),2))</f>
        <v xml:space="preserve"> </v>
      </c>
      <c r="I140" s="318" t="str">
        <f>IF(OR(E140&lt;=0)," ",TRUNC((H140*F140),2))</f>
        <v xml:space="preserve"> </v>
      </c>
      <c r="J140" s="205"/>
      <c r="K140" s="131"/>
    </row>
    <row r="141" spans="1:11" ht="28.5">
      <c r="A141" s="209" t="s">
        <v>1247</v>
      </c>
      <c r="B141" s="247" t="s">
        <v>105</v>
      </c>
      <c r="C141" s="252" t="s">
        <v>1215</v>
      </c>
      <c r="D141" s="327" t="s">
        <v>57</v>
      </c>
      <c r="E141" s="1959">
        <v>2700</v>
      </c>
      <c r="F141" s="353">
        <f t="shared" ref="F141:F143" si="19">IF(OR(E141&lt;=0)," ",TRUNC(G141,2))</f>
        <v>1</v>
      </c>
      <c r="G141" s="352">
        <v>1</v>
      </c>
      <c r="H141" s="354">
        <f t="shared" si="16"/>
        <v>3300.21</v>
      </c>
      <c r="I141" s="171">
        <f t="shared" si="17"/>
        <v>3300.21</v>
      </c>
      <c r="J141" s="573">
        <f>'COMP CIVIL'!F177</f>
        <v>2700</v>
      </c>
      <c r="K141" s="549" t="s">
        <v>630</v>
      </c>
    </row>
    <row r="142" spans="1:11" ht="28.5">
      <c r="A142" s="209" t="s">
        <v>1248</v>
      </c>
      <c r="B142" s="247" t="s">
        <v>106</v>
      </c>
      <c r="C142" s="252" t="s">
        <v>1673</v>
      </c>
      <c r="D142" s="327" t="s">
        <v>57</v>
      </c>
      <c r="E142" s="1959">
        <v>7450</v>
      </c>
      <c r="F142" s="353">
        <f t="shared" si="19"/>
        <v>1</v>
      </c>
      <c r="G142" s="352">
        <v>1</v>
      </c>
      <c r="H142" s="354">
        <f t="shared" si="16"/>
        <v>9106.1299999999992</v>
      </c>
      <c r="I142" s="171">
        <f t="shared" si="17"/>
        <v>9106.1299999999992</v>
      </c>
      <c r="J142" s="573">
        <f>'COMP CIVIL'!F194</f>
        <v>7450</v>
      </c>
      <c r="K142" s="549" t="s">
        <v>632</v>
      </c>
    </row>
    <row r="143" spans="1:11" ht="28.5">
      <c r="A143" s="209" t="s">
        <v>1249</v>
      </c>
      <c r="B143" s="247" t="s">
        <v>108</v>
      </c>
      <c r="C143" s="720" t="s">
        <v>1032</v>
      </c>
      <c r="D143" s="327" t="s">
        <v>57</v>
      </c>
      <c r="E143" s="1959">
        <v>2400</v>
      </c>
      <c r="F143" s="353">
        <f t="shared" si="19"/>
        <v>1</v>
      </c>
      <c r="G143" s="352">
        <v>1</v>
      </c>
      <c r="H143" s="354">
        <f t="shared" si="16"/>
        <v>2933.52</v>
      </c>
      <c r="I143" s="171">
        <f t="shared" si="17"/>
        <v>2933.52</v>
      </c>
      <c r="J143" s="573">
        <f>'COMP CIVIL'!F226</f>
        <v>2400</v>
      </c>
      <c r="K143" s="549" t="s">
        <v>332</v>
      </c>
    </row>
    <row r="144" spans="1:11" ht="15.75" thickBot="1">
      <c r="A144" s="379"/>
      <c r="B144" s="175"/>
      <c r="C144" s="175"/>
      <c r="D144" s="175"/>
      <c r="E144" s="953"/>
      <c r="F144" s="954"/>
      <c r="G144" s="955"/>
      <c r="H144" s="956" t="s">
        <v>16</v>
      </c>
      <c r="I144" s="178">
        <f>TRUNC(SUM(I130:I143),2)</f>
        <v>70104.31</v>
      </c>
      <c r="J144" s="205"/>
      <c r="K144" s="131"/>
    </row>
    <row r="145" spans="1:11">
      <c r="A145" s="622">
        <v>9</v>
      </c>
      <c r="B145" s="623"/>
      <c r="C145" s="624" t="s">
        <v>92</v>
      </c>
      <c r="D145" s="625"/>
      <c r="E145" s="957"/>
      <c r="F145" s="958"/>
      <c r="G145" s="959"/>
      <c r="H145" s="959"/>
      <c r="I145" s="628"/>
      <c r="J145" s="482"/>
      <c r="K145" s="131"/>
    </row>
    <row r="146" spans="1:11" ht="15.75" customHeight="1">
      <c r="A146" s="721" t="s">
        <v>76</v>
      </c>
      <c r="B146" s="317"/>
      <c r="C146" s="319" t="s">
        <v>808</v>
      </c>
      <c r="D146" s="317"/>
      <c r="E146" s="961"/>
      <c r="F146" s="962" t="str">
        <f>IF(OR(E146&lt;=0)," ",TRUNC(G146,2))</f>
        <v xml:space="preserve"> </v>
      </c>
      <c r="G146" s="722"/>
      <c r="H146" s="722" t="str">
        <f>IF(OR(E146&lt;=0)," ",TRUNC((E146*(1+$I$9)),2))</f>
        <v xml:space="preserve"> </v>
      </c>
      <c r="I146" s="318" t="str">
        <f>IF(OR(E146&lt;=0)," ",TRUNC((H146*F146),2))</f>
        <v xml:space="preserve"> </v>
      </c>
      <c r="J146" s="570"/>
      <c r="K146" s="546"/>
    </row>
    <row r="147" spans="1:11" ht="30" customHeight="1">
      <c r="A147" s="209" t="s">
        <v>806</v>
      </c>
      <c r="B147" s="987">
        <v>96135</v>
      </c>
      <c r="C147" s="1853" t="s">
        <v>537</v>
      </c>
      <c r="D147" s="168" t="s">
        <v>48</v>
      </c>
      <c r="E147" s="1961">
        <v>22.03</v>
      </c>
      <c r="F147" s="353">
        <f t="shared" ref="F147:F157" si="20">IF(OR(E147&lt;=0)," ",TRUNC(G147,2))</f>
        <v>447.85</v>
      </c>
      <c r="G147" s="352">
        <v>447.85</v>
      </c>
      <c r="H147" s="354">
        <f t="shared" ref="H147:H157" si="21">IF(OR(E147&lt;=0)," ",TRUNC((E147*(1+$I$9)),2))</f>
        <v>26.92</v>
      </c>
      <c r="I147" s="171">
        <f t="shared" ref="I147:I157" si="22">IF(OR(E147&lt;=0)," ",TRUNC((H147*F147),2))</f>
        <v>12056.12</v>
      </c>
      <c r="J147" s="988"/>
      <c r="K147" s="546"/>
    </row>
    <row r="148" spans="1:11" ht="30" customHeight="1">
      <c r="A148" s="209" t="s">
        <v>807</v>
      </c>
      <c r="B148" s="987">
        <v>88485</v>
      </c>
      <c r="C148" s="153" t="s">
        <v>557</v>
      </c>
      <c r="D148" s="168" t="s">
        <v>48</v>
      </c>
      <c r="E148" s="1961">
        <v>1.68</v>
      </c>
      <c r="F148" s="353">
        <f t="shared" si="20"/>
        <v>447.85</v>
      </c>
      <c r="G148" s="352">
        <v>447.85</v>
      </c>
      <c r="H148" s="354">
        <f t="shared" si="21"/>
        <v>2.0499999999999998</v>
      </c>
      <c r="I148" s="171">
        <f t="shared" si="22"/>
        <v>918.09</v>
      </c>
      <c r="J148" s="988"/>
      <c r="K148" s="546"/>
    </row>
    <row r="149" spans="1:11" ht="30" customHeight="1">
      <c r="A149" s="209" t="s">
        <v>916</v>
      </c>
      <c r="B149" s="987">
        <v>88489</v>
      </c>
      <c r="C149" s="153" t="s">
        <v>113</v>
      </c>
      <c r="D149" s="168" t="s">
        <v>48</v>
      </c>
      <c r="E149" s="1961">
        <v>11.96</v>
      </c>
      <c r="F149" s="353">
        <f t="shared" si="20"/>
        <v>447.85</v>
      </c>
      <c r="G149" s="352">
        <v>447.85</v>
      </c>
      <c r="H149" s="354">
        <f t="shared" si="21"/>
        <v>14.61</v>
      </c>
      <c r="I149" s="171">
        <f t="shared" si="22"/>
        <v>6543.08</v>
      </c>
      <c r="J149" s="988"/>
      <c r="K149" s="546"/>
    </row>
    <row r="150" spans="1:11" ht="30" customHeight="1">
      <c r="A150" s="209" t="s">
        <v>917</v>
      </c>
      <c r="B150" s="987">
        <v>88484</v>
      </c>
      <c r="C150" s="153" t="s">
        <v>1602</v>
      </c>
      <c r="D150" s="168" t="s">
        <v>48</v>
      </c>
      <c r="E150" s="1961">
        <v>2.0099999999999998</v>
      </c>
      <c r="F150" s="353">
        <f t="shared" si="20"/>
        <v>257.43</v>
      </c>
      <c r="G150" s="352">
        <v>257.43</v>
      </c>
      <c r="H150" s="354">
        <f t="shared" si="21"/>
        <v>2.4500000000000002</v>
      </c>
      <c r="I150" s="171">
        <f t="shared" si="22"/>
        <v>630.70000000000005</v>
      </c>
      <c r="J150" s="988"/>
      <c r="K150" s="546"/>
    </row>
    <row r="151" spans="1:11" ht="30" customHeight="1">
      <c r="A151" s="209" t="s">
        <v>918</v>
      </c>
      <c r="B151" s="987">
        <v>88488</v>
      </c>
      <c r="C151" s="153" t="s">
        <v>1603</v>
      </c>
      <c r="D151" s="168" t="s">
        <v>48</v>
      </c>
      <c r="E151" s="1961">
        <v>13.46</v>
      </c>
      <c r="F151" s="353">
        <f t="shared" si="20"/>
        <v>215.84</v>
      </c>
      <c r="G151" s="352">
        <v>215.84</v>
      </c>
      <c r="H151" s="354">
        <f t="shared" si="21"/>
        <v>16.45</v>
      </c>
      <c r="I151" s="171">
        <f t="shared" si="22"/>
        <v>3550.56</v>
      </c>
      <c r="J151" s="988"/>
      <c r="K151" s="546"/>
    </row>
    <row r="152" spans="1:11" ht="13.5" customHeight="1">
      <c r="A152" s="721" t="s">
        <v>111</v>
      </c>
      <c r="B152" s="317"/>
      <c r="C152" s="319" t="s">
        <v>809</v>
      </c>
      <c r="D152" s="317"/>
      <c r="E152" s="961"/>
      <c r="F152" s="962" t="str">
        <f t="shared" ref="F152" si="23">IF(OR(E152&lt;=0)," ",TRUNC(G152,2))</f>
        <v xml:space="preserve"> </v>
      </c>
      <c r="G152" s="722"/>
      <c r="H152" s="722" t="str">
        <f t="shared" ref="H152" si="24">IF(OR(E152&lt;=0)," ",TRUNC((E152*(1+$I$9)),2))</f>
        <v xml:space="preserve"> </v>
      </c>
      <c r="I152" s="318" t="str">
        <f t="shared" ref="I152" si="25">IF(OR(E152&lt;=0)," ",TRUNC((H152*F152),2))</f>
        <v xml:space="preserve"> </v>
      </c>
      <c r="J152" s="52"/>
      <c r="K152" s="545"/>
    </row>
    <row r="153" spans="1:11" ht="33.75" customHeight="1">
      <c r="A153" s="209" t="s">
        <v>810</v>
      </c>
      <c r="B153" s="987">
        <v>88415</v>
      </c>
      <c r="C153" s="153" t="s">
        <v>558</v>
      </c>
      <c r="D153" s="168" t="s">
        <v>48</v>
      </c>
      <c r="E153" s="1961">
        <v>1.99</v>
      </c>
      <c r="F153" s="353">
        <f t="shared" si="20"/>
        <v>436.63</v>
      </c>
      <c r="G153" s="352">
        <v>436.63</v>
      </c>
      <c r="H153" s="354">
        <f t="shared" si="21"/>
        <v>2.4300000000000002</v>
      </c>
      <c r="I153" s="171">
        <f t="shared" si="22"/>
        <v>1061.01</v>
      </c>
      <c r="J153" s="52"/>
      <c r="K153" s="545"/>
    </row>
    <row r="154" spans="1:11" ht="33.75" customHeight="1">
      <c r="A154" s="209" t="s">
        <v>811</v>
      </c>
      <c r="B154" s="247">
        <v>88431</v>
      </c>
      <c r="C154" s="153" t="s">
        <v>559</v>
      </c>
      <c r="D154" s="168" t="s">
        <v>48</v>
      </c>
      <c r="E154" s="1959">
        <v>20.149999999999999</v>
      </c>
      <c r="F154" s="353">
        <f t="shared" si="20"/>
        <v>436.63</v>
      </c>
      <c r="G154" s="352">
        <v>436.63</v>
      </c>
      <c r="H154" s="354">
        <f t="shared" si="21"/>
        <v>24.62</v>
      </c>
      <c r="I154" s="171">
        <f t="shared" si="22"/>
        <v>10749.83</v>
      </c>
      <c r="J154" s="52"/>
      <c r="K154" s="795" t="s">
        <v>1604</v>
      </c>
    </row>
    <row r="155" spans="1:11" ht="33.75" customHeight="1">
      <c r="A155" s="209" t="s">
        <v>915</v>
      </c>
      <c r="B155" s="247">
        <v>95626</v>
      </c>
      <c r="C155" s="153" t="s">
        <v>561</v>
      </c>
      <c r="D155" s="168" t="s">
        <v>48</v>
      </c>
      <c r="E155" s="1959">
        <v>12.75</v>
      </c>
      <c r="F155" s="353">
        <f t="shared" si="20"/>
        <v>436.63</v>
      </c>
      <c r="G155" s="352">
        <v>436.63</v>
      </c>
      <c r="H155" s="354">
        <f t="shared" si="21"/>
        <v>15.58</v>
      </c>
      <c r="I155" s="171">
        <f t="shared" si="22"/>
        <v>6802.69</v>
      </c>
      <c r="J155" s="52"/>
      <c r="K155" s="795" t="s">
        <v>1605</v>
      </c>
    </row>
    <row r="156" spans="1:11" ht="15.75" customHeight="1">
      <c r="A156" s="209" t="s">
        <v>1606</v>
      </c>
      <c r="B156" s="247" t="s">
        <v>1608</v>
      </c>
      <c r="C156" s="252" t="s">
        <v>1612</v>
      </c>
      <c r="D156" s="168" t="s">
        <v>48</v>
      </c>
      <c r="E156" s="1959">
        <v>13.77</v>
      </c>
      <c r="F156" s="353">
        <f t="shared" si="20"/>
        <v>33.979999999999997</v>
      </c>
      <c r="G156" s="352">
        <v>33.979999999999997</v>
      </c>
      <c r="H156" s="354">
        <f t="shared" si="21"/>
        <v>16.829999999999998</v>
      </c>
      <c r="I156" s="171">
        <f t="shared" si="22"/>
        <v>571.88</v>
      </c>
      <c r="J156" s="1609">
        <f>'COMP CIVIL'!F492</f>
        <v>19.740000000000002</v>
      </c>
      <c r="K156" s="545" t="s">
        <v>2333</v>
      </c>
    </row>
    <row r="157" spans="1:11" ht="34.5" customHeight="1">
      <c r="A157" s="209" t="s">
        <v>1607</v>
      </c>
      <c r="B157" s="247">
        <v>88488</v>
      </c>
      <c r="C157" s="153" t="s">
        <v>1603</v>
      </c>
      <c r="D157" s="168" t="s">
        <v>48</v>
      </c>
      <c r="E157" s="1959">
        <v>13.46</v>
      </c>
      <c r="F157" s="353">
        <f t="shared" si="20"/>
        <v>41.59</v>
      </c>
      <c r="G157" s="352">
        <v>41.59</v>
      </c>
      <c r="H157" s="354">
        <f t="shared" si="21"/>
        <v>16.45</v>
      </c>
      <c r="I157" s="171">
        <f t="shared" si="22"/>
        <v>684.15</v>
      </c>
      <c r="J157" s="52"/>
      <c r="K157" s="571" t="s">
        <v>2334</v>
      </c>
    </row>
    <row r="158" spans="1:11" ht="15.75" thickBot="1">
      <c r="A158" s="172"/>
      <c r="B158" s="175"/>
      <c r="C158" s="175"/>
      <c r="D158" s="175"/>
      <c r="E158" s="953"/>
      <c r="F158" s="954"/>
      <c r="G158" s="955"/>
      <c r="H158" s="956" t="s">
        <v>16</v>
      </c>
      <c r="I158" s="178">
        <f>TRUNC(SUM(I147:I157),2)</f>
        <v>43568.11</v>
      </c>
      <c r="K158" s="131"/>
    </row>
    <row r="159" spans="1:11">
      <c r="A159" s="1845">
        <v>10</v>
      </c>
      <c r="B159" s="1846"/>
      <c r="C159" s="1847" t="s">
        <v>380</v>
      </c>
      <c r="D159" s="1848"/>
      <c r="E159" s="1849"/>
      <c r="F159" s="1850"/>
      <c r="G159" s="1851"/>
      <c r="H159" s="1851"/>
      <c r="I159" s="1852"/>
      <c r="J159" s="482"/>
      <c r="K159" s="131"/>
    </row>
    <row r="160" spans="1:11">
      <c r="A160" s="721" t="s">
        <v>78</v>
      </c>
      <c r="B160" s="317"/>
      <c r="C160" s="319" t="s">
        <v>323</v>
      </c>
      <c r="D160" s="317"/>
      <c r="E160" s="961"/>
      <c r="F160" s="962" t="str">
        <f t="shared" ref="F160:F166" si="26">IF(OR(E160&lt;=0)," ",TRUNC(G160,2))</f>
        <v xml:space="preserve"> </v>
      </c>
      <c r="G160" s="722"/>
      <c r="H160" s="722" t="str">
        <f t="shared" ref="H160:H166" si="27">IF(OR(E160&lt;=0)," ",TRUNC((E160*(1+$I$9)),2))</f>
        <v xml:space="preserve"> </v>
      </c>
      <c r="I160" s="318" t="str">
        <f t="shared" ref="I160:I166" si="28">IF(OR(E160&lt;=0)," ",TRUNC((H160*F160),2))</f>
        <v xml:space="preserve"> </v>
      </c>
      <c r="J160" s="731" t="s">
        <v>921</v>
      </c>
      <c r="K160" s="131"/>
    </row>
    <row r="161" spans="1:11" ht="42.75">
      <c r="A161" s="377" t="s">
        <v>793</v>
      </c>
      <c r="B161" s="424" t="s">
        <v>952</v>
      </c>
      <c r="C161" s="153" t="s">
        <v>560</v>
      </c>
      <c r="D161" s="247" t="s">
        <v>101</v>
      </c>
      <c r="E161" s="1959">
        <v>14.13</v>
      </c>
      <c r="F161" s="353">
        <f t="shared" si="26"/>
        <v>2630.84</v>
      </c>
      <c r="G161" s="352">
        <v>2630.84</v>
      </c>
      <c r="H161" s="354">
        <f t="shared" si="27"/>
        <v>17.27</v>
      </c>
      <c r="I161" s="171">
        <f t="shared" si="28"/>
        <v>45434.6</v>
      </c>
      <c r="J161" s="538">
        <f>'COMP ESTRUT'!F108</f>
        <v>14.13</v>
      </c>
      <c r="K161" s="372"/>
    </row>
    <row r="162" spans="1:11">
      <c r="A162" s="377" t="s">
        <v>995</v>
      </c>
      <c r="B162" s="424" t="s">
        <v>963</v>
      </c>
      <c r="C162" s="153" t="s">
        <v>948</v>
      </c>
      <c r="D162" s="247" t="s">
        <v>101</v>
      </c>
      <c r="E162" s="1959">
        <v>2.27</v>
      </c>
      <c r="F162" s="353">
        <f t="shared" si="26"/>
        <v>2630.84</v>
      </c>
      <c r="G162" s="352">
        <v>2630.84</v>
      </c>
      <c r="H162" s="354">
        <f t="shared" si="27"/>
        <v>2.77</v>
      </c>
      <c r="I162" s="171">
        <f t="shared" si="28"/>
        <v>7287.42</v>
      </c>
      <c r="J162" s="231">
        <f>'COMP ESTRUT'!F119</f>
        <v>2.27</v>
      </c>
      <c r="K162" s="131"/>
    </row>
    <row r="163" spans="1:11" ht="30.75" customHeight="1">
      <c r="A163" s="377" t="s">
        <v>996</v>
      </c>
      <c r="B163" s="424" t="s">
        <v>964</v>
      </c>
      <c r="C163" s="153" t="s">
        <v>954</v>
      </c>
      <c r="D163" s="327" t="s">
        <v>57</v>
      </c>
      <c r="E163" s="1959">
        <v>2.1800000000000002</v>
      </c>
      <c r="F163" s="353">
        <f t="shared" si="26"/>
        <v>200</v>
      </c>
      <c r="G163" s="352">
        <v>200</v>
      </c>
      <c r="H163" s="354">
        <f t="shared" si="27"/>
        <v>2.66</v>
      </c>
      <c r="I163" s="171">
        <f t="shared" si="28"/>
        <v>532</v>
      </c>
      <c r="J163" s="231"/>
      <c r="K163" s="131"/>
    </row>
    <row r="164" spans="1:11" ht="46.5" customHeight="1">
      <c r="A164" s="377" t="s">
        <v>997</v>
      </c>
      <c r="B164" s="424">
        <v>100747</v>
      </c>
      <c r="C164" s="153" t="s">
        <v>1299</v>
      </c>
      <c r="D164" s="168" t="s">
        <v>48</v>
      </c>
      <c r="E164" s="1959">
        <v>7.09</v>
      </c>
      <c r="F164" s="353">
        <f t="shared" si="26"/>
        <v>159.83000000000001</v>
      </c>
      <c r="G164" s="352">
        <v>159.83000000000001</v>
      </c>
      <c r="H164" s="354">
        <f t="shared" si="27"/>
        <v>8.66</v>
      </c>
      <c r="I164" s="171">
        <f t="shared" si="28"/>
        <v>1384.12</v>
      </c>
      <c r="J164" s="231"/>
      <c r="K164" s="131"/>
    </row>
    <row r="165" spans="1:11">
      <c r="A165" s="721" t="s">
        <v>79</v>
      </c>
      <c r="B165" s="317"/>
      <c r="C165" s="319" t="s">
        <v>794</v>
      </c>
      <c r="D165" s="317"/>
      <c r="E165" s="961"/>
      <c r="F165" s="962" t="str">
        <f t="shared" si="26"/>
        <v xml:space="preserve"> </v>
      </c>
      <c r="G165" s="722"/>
      <c r="H165" s="722" t="str">
        <f t="shared" si="27"/>
        <v xml:space="preserve"> </v>
      </c>
      <c r="I165" s="318" t="str">
        <f t="shared" si="28"/>
        <v xml:space="preserve"> </v>
      </c>
      <c r="J165" s="511" t="s">
        <v>919</v>
      </c>
      <c r="K165" s="131"/>
    </row>
    <row r="166" spans="1:11" ht="57">
      <c r="A166" s="207" t="s">
        <v>795</v>
      </c>
      <c r="B166" s="247" t="s">
        <v>1610</v>
      </c>
      <c r="C166" s="1023" t="s">
        <v>156</v>
      </c>
      <c r="D166" s="168" t="s">
        <v>48</v>
      </c>
      <c r="E166" s="1959">
        <v>228.72</v>
      </c>
      <c r="F166" s="353">
        <f t="shared" si="26"/>
        <v>246.01</v>
      </c>
      <c r="G166" s="352">
        <v>246.01</v>
      </c>
      <c r="H166" s="354">
        <f t="shared" si="27"/>
        <v>279.56</v>
      </c>
      <c r="I166" s="171">
        <f t="shared" si="28"/>
        <v>68774.55</v>
      </c>
      <c r="J166" s="572">
        <f>'COMP CIVIL'!F506</f>
        <v>228.72000000000003</v>
      </c>
      <c r="K166" s="131"/>
    </row>
    <row r="167" spans="1:11" ht="15.75" thickBot="1">
      <c r="A167" s="172"/>
      <c r="B167" s="175"/>
      <c r="C167" s="175"/>
      <c r="D167" s="175"/>
      <c r="E167" s="953"/>
      <c r="F167" s="954"/>
      <c r="G167" s="955"/>
      <c r="H167" s="956" t="s">
        <v>16</v>
      </c>
      <c r="I167" s="178">
        <f>TRUNC(SUM(I161:I166),2)</f>
        <v>123412.69</v>
      </c>
      <c r="K167" s="131"/>
    </row>
    <row r="168" spans="1:11" ht="15.75" thickBot="1">
      <c r="A168" s="622">
        <v>11</v>
      </c>
      <c r="B168" s="623"/>
      <c r="C168" s="624" t="s">
        <v>77</v>
      </c>
      <c r="D168" s="625"/>
      <c r="E168" s="957"/>
      <c r="F168" s="958" t="str">
        <f t="shared" ref="F168:F175" si="29">IF(OR(E168&lt;=0)," ",TRUNC(G168,2))</f>
        <v xml:space="preserve"> </v>
      </c>
      <c r="G168" s="959"/>
      <c r="H168" s="959" t="str">
        <f t="shared" ref="H168:H174" si="30">IF(OR(E168&lt;=0)," ",TRUNC((E168*(1+$I$9)),2))</f>
        <v xml:space="preserve"> </v>
      </c>
      <c r="I168" s="628" t="str">
        <f t="shared" ref="I168:I174" si="31">IF(OR(E168&lt;=0)," ",TRUNC((H168*F168),2))</f>
        <v xml:space="preserve"> </v>
      </c>
      <c r="J168" s="482" t="s">
        <v>922</v>
      </c>
      <c r="K168" s="131"/>
    </row>
    <row r="169" spans="1:11" ht="18" customHeight="1">
      <c r="A169" s="1855" t="s">
        <v>81</v>
      </c>
      <c r="B169" s="1856"/>
      <c r="C169" s="1857" t="s">
        <v>812</v>
      </c>
      <c r="D169" s="1856"/>
      <c r="E169" s="1858"/>
      <c r="F169" s="1859" t="str">
        <f t="shared" si="29"/>
        <v xml:space="preserve"> </v>
      </c>
      <c r="G169" s="1860"/>
      <c r="H169" s="1860" t="str">
        <f t="shared" si="30"/>
        <v xml:space="preserve"> </v>
      </c>
      <c r="I169" s="1861" t="str">
        <f t="shared" si="31"/>
        <v xml:space="preserve"> </v>
      </c>
      <c r="J169" s="850"/>
      <c r="K169" s="221"/>
    </row>
    <row r="170" spans="1:11" ht="45.75" customHeight="1">
      <c r="A170" s="209" t="s">
        <v>813</v>
      </c>
      <c r="B170" s="152">
        <v>101880</v>
      </c>
      <c r="C170" s="322" t="s">
        <v>1158</v>
      </c>
      <c r="D170" s="182" t="s">
        <v>57</v>
      </c>
      <c r="E170" s="1953">
        <v>636.39</v>
      </c>
      <c r="F170" s="353">
        <f t="shared" si="29"/>
        <v>1</v>
      </c>
      <c r="G170" s="973">
        <v>1</v>
      </c>
      <c r="H170" s="354">
        <f t="shared" si="30"/>
        <v>777.85</v>
      </c>
      <c r="I170" s="171">
        <f t="shared" si="31"/>
        <v>777.85</v>
      </c>
      <c r="J170" s="132"/>
      <c r="K170" s="131"/>
    </row>
    <row r="171" spans="1:11" ht="32.25" customHeight="1">
      <c r="A171" s="209" t="s">
        <v>814</v>
      </c>
      <c r="B171" s="1641" t="s">
        <v>1159</v>
      </c>
      <c r="C171" s="322" t="s">
        <v>487</v>
      </c>
      <c r="D171" s="182" t="s">
        <v>57</v>
      </c>
      <c r="E171" s="1953">
        <v>412.11</v>
      </c>
      <c r="F171" s="353">
        <f t="shared" si="29"/>
        <v>1</v>
      </c>
      <c r="G171" s="973">
        <v>1</v>
      </c>
      <c r="H171" s="354">
        <f t="shared" si="30"/>
        <v>503.72</v>
      </c>
      <c r="I171" s="171">
        <f t="shared" si="31"/>
        <v>503.72</v>
      </c>
      <c r="J171" s="573">
        <f>'COMP ELE'!F332</f>
        <v>412.11</v>
      </c>
      <c r="K171" s="523" t="s">
        <v>1142</v>
      </c>
    </row>
    <row r="172" spans="1:11" ht="34.5" customHeight="1">
      <c r="A172" s="209" t="s">
        <v>815</v>
      </c>
      <c r="B172" s="144">
        <v>91935</v>
      </c>
      <c r="C172" s="322" t="s">
        <v>118</v>
      </c>
      <c r="D172" s="144" t="s">
        <v>56</v>
      </c>
      <c r="E172" s="1953">
        <v>24.77</v>
      </c>
      <c r="F172" s="353">
        <f t="shared" si="29"/>
        <v>19.5</v>
      </c>
      <c r="G172" s="973">
        <v>19.5</v>
      </c>
      <c r="H172" s="354">
        <f t="shared" si="30"/>
        <v>30.27</v>
      </c>
      <c r="I172" s="171">
        <f t="shared" si="31"/>
        <v>590.26</v>
      </c>
      <c r="J172" s="321"/>
      <c r="K172" s="812"/>
    </row>
    <row r="173" spans="1:11" ht="36" customHeight="1">
      <c r="A173" s="209" t="s">
        <v>816</v>
      </c>
      <c r="B173" s="144">
        <v>92984</v>
      </c>
      <c r="C173" s="322" t="s">
        <v>243</v>
      </c>
      <c r="D173" s="144" t="s">
        <v>56</v>
      </c>
      <c r="E173" s="1953">
        <v>29.08</v>
      </c>
      <c r="F173" s="353">
        <f t="shared" si="29"/>
        <v>78</v>
      </c>
      <c r="G173" s="604">
        <v>78</v>
      </c>
      <c r="H173" s="354">
        <f t="shared" si="30"/>
        <v>35.54</v>
      </c>
      <c r="I173" s="171">
        <f t="shared" si="31"/>
        <v>2772.12</v>
      </c>
      <c r="J173" s="321"/>
      <c r="K173" s="812"/>
    </row>
    <row r="174" spans="1:11" ht="33" customHeight="1">
      <c r="A174" s="209" t="s">
        <v>817</v>
      </c>
      <c r="B174" s="144">
        <v>91926</v>
      </c>
      <c r="C174" s="322" t="s">
        <v>244</v>
      </c>
      <c r="D174" s="144" t="s">
        <v>56</v>
      </c>
      <c r="E174" s="1953">
        <v>3.97</v>
      </c>
      <c r="F174" s="353">
        <f t="shared" si="29"/>
        <v>1144.0999999999999</v>
      </c>
      <c r="G174" s="973">
        <v>1144.0999999999999</v>
      </c>
      <c r="H174" s="354">
        <f t="shared" si="30"/>
        <v>4.8499999999999996</v>
      </c>
      <c r="I174" s="171">
        <f t="shared" si="31"/>
        <v>5548.88</v>
      </c>
      <c r="J174" s="321"/>
      <c r="K174" s="812"/>
    </row>
    <row r="175" spans="1:11" ht="33" customHeight="1">
      <c r="A175" s="209" t="s">
        <v>818</v>
      </c>
      <c r="B175" s="144">
        <v>91928</v>
      </c>
      <c r="C175" s="322" t="s">
        <v>245</v>
      </c>
      <c r="D175" s="144" t="s">
        <v>56</v>
      </c>
      <c r="E175" s="1953">
        <v>6.62</v>
      </c>
      <c r="F175" s="353">
        <f t="shared" si="29"/>
        <v>212.6</v>
      </c>
      <c r="G175" s="973">
        <v>212.6</v>
      </c>
      <c r="H175" s="354">
        <f t="shared" ref="H175:H220" si="32">IF(OR(E175&lt;=0)," ",TRUNC((E175*(1+$I$9)),2))</f>
        <v>8.09</v>
      </c>
      <c r="I175" s="171">
        <f t="shared" ref="I175:I220" si="33">IF(OR(E175&lt;=0)," ",TRUNC((H175*F175),2))</f>
        <v>1719.93</v>
      </c>
      <c r="J175" s="321"/>
      <c r="K175" s="812"/>
    </row>
    <row r="176" spans="1:11" ht="35.25" customHeight="1">
      <c r="A176" s="209" t="s">
        <v>819</v>
      </c>
      <c r="B176" s="144">
        <v>91924</v>
      </c>
      <c r="C176" s="322" t="s">
        <v>1139</v>
      </c>
      <c r="D176" s="144" t="s">
        <v>56</v>
      </c>
      <c r="E176" s="1953">
        <v>2.69</v>
      </c>
      <c r="F176" s="353">
        <f t="shared" ref="F176:F220" si="34">IF(OR(E176&lt;=0)," ",TRUNC(G176,2))</f>
        <v>390.3</v>
      </c>
      <c r="G176" s="973">
        <v>390.3</v>
      </c>
      <c r="H176" s="354">
        <f t="shared" si="32"/>
        <v>3.28</v>
      </c>
      <c r="I176" s="171">
        <f t="shared" si="33"/>
        <v>1280.18</v>
      </c>
      <c r="J176" s="321"/>
      <c r="K176" s="812"/>
    </row>
    <row r="177" spans="1:11" ht="21" customHeight="1">
      <c r="A177" s="209" t="s">
        <v>820</v>
      </c>
      <c r="B177" s="1629" t="s">
        <v>2446</v>
      </c>
      <c r="C177" s="322" t="s">
        <v>2399</v>
      </c>
      <c r="D177" s="166" t="s">
        <v>57</v>
      </c>
      <c r="E177" s="1953">
        <v>20.37</v>
      </c>
      <c r="F177" s="353">
        <f t="shared" si="34"/>
        <v>23</v>
      </c>
      <c r="G177" s="973">
        <v>23</v>
      </c>
      <c r="H177" s="354">
        <f t="shared" si="32"/>
        <v>24.89</v>
      </c>
      <c r="I177" s="171">
        <f t="shared" si="33"/>
        <v>572.47</v>
      </c>
      <c r="J177" s="321">
        <f>'COMP ELE'!F576</f>
        <v>20.37</v>
      </c>
      <c r="K177" s="657"/>
    </row>
    <row r="178" spans="1:11" ht="21" customHeight="1">
      <c r="A178" s="209" t="s">
        <v>821</v>
      </c>
      <c r="B178" s="315" t="s">
        <v>2451</v>
      </c>
      <c r="C178" s="322" t="s">
        <v>2401</v>
      </c>
      <c r="D178" s="166" t="s">
        <v>57</v>
      </c>
      <c r="E178" s="1953">
        <v>24.95</v>
      </c>
      <c r="F178" s="353">
        <f t="shared" si="34"/>
        <v>1</v>
      </c>
      <c r="G178" s="973">
        <v>1</v>
      </c>
      <c r="H178" s="354">
        <f t="shared" si="32"/>
        <v>30.49</v>
      </c>
      <c r="I178" s="171">
        <f t="shared" si="33"/>
        <v>30.49</v>
      </c>
      <c r="J178" s="321">
        <f>'COMP ELE'!F624</f>
        <v>21.27</v>
      </c>
      <c r="K178" s="657"/>
    </row>
    <row r="179" spans="1:11" ht="21" customHeight="1">
      <c r="A179" s="209" t="s">
        <v>822</v>
      </c>
      <c r="B179" s="315" t="s">
        <v>2449</v>
      </c>
      <c r="C179" s="322" t="s">
        <v>2402</v>
      </c>
      <c r="D179" s="166" t="s">
        <v>57</v>
      </c>
      <c r="E179" s="1953">
        <v>20.37</v>
      </c>
      <c r="F179" s="353">
        <f t="shared" si="34"/>
        <v>2</v>
      </c>
      <c r="G179" s="973">
        <v>2</v>
      </c>
      <c r="H179" s="354">
        <f t="shared" si="32"/>
        <v>24.89</v>
      </c>
      <c r="I179" s="171">
        <f t="shared" si="33"/>
        <v>49.78</v>
      </c>
      <c r="J179" s="321">
        <f>'COMP ELE'!F600</f>
        <v>20.37</v>
      </c>
      <c r="K179" s="657"/>
    </row>
    <row r="180" spans="1:11" ht="21" customHeight="1">
      <c r="A180" s="209" t="s">
        <v>823</v>
      </c>
      <c r="B180" s="315" t="s">
        <v>2450</v>
      </c>
      <c r="C180" s="322" t="s">
        <v>2404</v>
      </c>
      <c r="D180" s="166" t="s">
        <v>57</v>
      </c>
      <c r="E180" s="1953">
        <v>22.21</v>
      </c>
      <c r="F180" s="353">
        <f t="shared" si="34"/>
        <v>1</v>
      </c>
      <c r="G180" s="973">
        <v>1</v>
      </c>
      <c r="H180" s="354">
        <f t="shared" si="32"/>
        <v>27.14</v>
      </c>
      <c r="I180" s="171">
        <f t="shared" si="33"/>
        <v>27.14</v>
      </c>
      <c r="J180" s="321">
        <f>'COMP ELE'!F612</f>
        <v>22.21</v>
      </c>
      <c r="K180" s="657"/>
    </row>
    <row r="181" spans="1:11" ht="21" customHeight="1">
      <c r="A181" s="209" t="s">
        <v>824</v>
      </c>
      <c r="B181" s="315" t="s">
        <v>2451</v>
      </c>
      <c r="C181" s="322" t="s">
        <v>2405</v>
      </c>
      <c r="D181" s="166" t="s">
        <v>57</v>
      </c>
      <c r="E181" s="1953">
        <v>21.27</v>
      </c>
      <c r="F181" s="353">
        <f t="shared" si="34"/>
        <v>1</v>
      </c>
      <c r="G181" s="973">
        <v>1</v>
      </c>
      <c r="H181" s="354">
        <f t="shared" si="32"/>
        <v>25.99</v>
      </c>
      <c r="I181" s="171">
        <f t="shared" si="33"/>
        <v>25.99</v>
      </c>
      <c r="J181" s="321">
        <f>'COMP ELE'!F624</f>
        <v>21.27</v>
      </c>
      <c r="K181" s="657"/>
    </row>
    <row r="182" spans="1:11" ht="32.25" customHeight="1">
      <c r="A182" s="209" t="s">
        <v>825</v>
      </c>
      <c r="B182" s="1641">
        <v>95733</v>
      </c>
      <c r="C182" s="322" t="s">
        <v>1161</v>
      </c>
      <c r="D182" s="166" t="s">
        <v>57</v>
      </c>
      <c r="E182" s="1953">
        <v>4.57</v>
      </c>
      <c r="F182" s="353">
        <f t="shared" si="34"/>
        <v>4</v>
      </c>
      <c r="G182" s="973">
        <v>4</v>
      </c>
      <c r="H182" s="354">
        <f t="shared" si="32"/>
        <v>5.58</v>
      </c>
      <c r="I182" s="171">
        <f t="shared" si="33"/>
        <v>22.32</v>
      </c>
      <c r="J182" s="573"/>
      <c r="K182" s="544"/>
    </row>
    <row r="183" spans="1:11" ht="18" customHeight="1">
      <c r="A183" s="209" t="s">
        <v>826</v>
      </c>
      <c r="B183" s="1641" t="s">
        <v>1162</v>
      </c>
      <c r="C183" s="322" t="s">
        <v>494</v>
      </c>
      <c r="D183" s="166" t="s">
        <v>57</v>
      </c>
      <c r="E183" s="1953">
        <v>321.67</v>
      </c>
      <c r="F183" s="353">
        <f t="shared" si="34"/>
        <v>1</v>
      </c>
      <c r="G183" s="973">
        <v>1</v>
      </c>
      <c r="H183" s="354">
        <f t="shared" si="32"/>
        <v>393.17</v>
      </c>
      <c r="I183" s="171">
        <f t="shared" si="33"/>
        <v>393.17</v>
      </c>
      <c r="J183" s="573">
        <f>'COMP ELE'!F343</f>
        <v>321.66999999999996</v>
      </c>
      <c r="K183" s="131"/>
    </row>
    <row r="184" spans="1:11" ht="31.5" customHeight="1">
      <c r="A184" s="209" t="s">
        <v>827</v>
      </c>
      <c r="B184" s="144">
        <v>91953</v>
      </c>
      <c r="C184" s="322" t="s">
        <v>119</v>
      </c>
      <c r="D184" s="166" t="s">
        <v>57</v>
      </c>
      <c r="E184" s="1953">
        <v>19.420000000000002</v>
      </c>
      <c r="F184" s="353">
        <f t="shared" si="34"/>
        <v>17</v>
      </c>
      <c r="G184" s="973">
        <v>17</v>
      </c>
      <c r="H184" s="354">
        <f t="shared" si="32"/>
        <v>23.73</v>
      </c>
      <c r="I184" s="171">
        <f t="shared" si="33"/>
        <v>403.41</v>
      </c>
      <c r="J184" s="323"/>
      <c r="K184" s="683" t="s">
        <v>2454</v>
      </c>
    </row>
    <row r="185" spans="1:11" ht="33" customHeight="1">
      <c r="A185" s="209" t="s">
        <v>828</v>
      </c>
      <c r="B185" s="144">
        <v>91959</v>
      </c>
      <c r="C185" s="322" t="s">
        <v>169</v>
      </c>
      <c r="D185" s="166" t="s">
        <v>57</v>
      </c>
      <c r="E185" s="1953">
        <v>30.7</v>
      </c>
      <c r="F185" s="353">
        <f t="shared" si="34"/>
        <v>1</v>
      </c>
      <c r="G185" s="973">
        <v>1</v>
      </c>
      <c r="H185" s="354">
        <f t="shared" si="32"/>
        <v>37.520000000000003</v>
      </c>
      <c r="I185" s="171">
        <f t="shared" si="33"/>
        <v>37.520000000000003</v>
      </c>
      <c r="J185" s="323"/>
      <c r="K185" s="131"/>
    </row>
    <row r="186" spans="1:11" ht="21" customHeight="1">
      <c r="A186" s="209" t="s">
        <v>829</v>
      </c>
      <c r="B186" s="1629" t="s">
        <v>1163</v>
      </c>
      <c r="C186" s="322" t="s">
        <v>491</v>
      </c>
      <c r="D186" s="166" t="s">
        <v>57</v>
      </c>
      <c r="E186" s="1953">
        <v>7.6</v>
      </c>
      <c r="F186" s="353">
        <f t="shared" si="34"/>
        <v>8</v>
      </c>
      <c r="G186" s="973">
        <v>8</v>
      </c>
      <c r="H186" s="354">
        <f t="shared" si="32"/>
        <v>9.2799999999999994</v>
      </c>
      <c r="I186" s="171">
        <f t="shared" si="33"/>
        <v>74.239999999999995</v>
      </c>
      <c r="J186" s="1634">
        <f>'COMP ELE'!F360</f>
        <v>7.6</v>
      </c>
      <c r="K186" s="657"/>
    </row>
    <row r="187" spans="1:11" ht="33" customHeight="1">
      <c r="A187" s="209" t="s">
        <v>830</v>
      </c>
      <c r="B187" s="144">
        <v>91967</v>
      </c>
      <c r="C187" s="322" t="s">
        <v>1164</v>
      </c>
      <c r="D187" s="166" t="s">
        <v>57</v>
      </c>
      <c r="E187" s="1953">
        <v>41.99</v>
      </c>
      <c r="F187" s="353">
        <f t="shared" si="34"/>
        <v>1</v>
      </c>
      <c r="G187" s="973">
        <v>1</v>
      </c>
      <c r="H187" s="354">
        <f t="shared" si="32"/>
        <v>51.32</v>
      </c>
      <c r="I187" s="171">
        <f t="shared" si="33"/>
        <v>51.32</v>
      </c>
      <c r="J187" s="323"/>
      <c r="K187" s="131"/>
    </row>
    <row r="188" spans="1:11" ht="33" customHeight="1">
      <c r="A188" s="209" t="s">
        <v>831</v>
      </c>
      <c r="B188" s="144">
        <v>92022</v>
      </c>
      <c r="C188" s="322" t="s">
        <v>1166</v>
      </c>
      <c r="D188" s="166" t="s">
        <v>57</v>
      </c>
      <c r="E188" s="1953">
        <v>28.44</v>
      </c>
      <c r="F188" s="353">
        <f t="shared" si="34"/>
        <v>5</v>
      </c>
      <c r="G188" s="973">
        <v>5</v>
      </c>
      <c r="H188" s="354">
        <f t="shared" si="32"/>
        <v>34.76</v>
      </c>
      <c r="I188" s="171">
        <f t="shared" si="33"/>
        <v>173.8</v>
      </c>
      <c r="J188" s="323"/>
      <c r="K188" s="823" t="s">
        <v>1167</v>
      </c>
    </row>
    <row r="189" spans="1:11" ht="33" customHeight="1">
      <c r="A189" s="209" t="s">
        <v>832</v>
      </c>
      <c r="B189" s="144">
        <v>92028</v>
      </c>
      <c r="C189" s="322" t="s">
        <v>1168</v>
      </c>
      <c r="D189" s="166" t="s">
        <v>57</v>
      </c>
      <c r="E189" s="1953">
        <v>33.06</v>
      </c>
      <c r="F189" s="353">
        <f t="shared" si="34"/>
        <v>1</v>
      </c>
      <c r="G189" s="973">
        <v>1</v>
      </c>
      <c r="H189" s="354">
        <f t="shared" si="32"/>
        <v>40.4</v>
      </c>
      <c r="I189" s="171">
        <f t="shared" si="33"/>
        <v>40.4</v>
      </c>
      <c r="J189" s="323"/>
      <c r="K189" s="823" t="s">
        <v>1165</v>
      </c>
    </row>
    <row r="190" spans="1:11" ht="33" customHeight="1">
      <c r="A190" s="209" t="s">
        <v>833</v>
      </c>
      <c r="B190" s="144">
        <v>91994</v>
      </c>
      <c r="C190" s="322" t="s">
        <v>1169</v>
      </c>
      <c r="D190" s="166" t="s">
        <v>57</v>
      </c>
      <c r="E190" s="1953">
        <v>17.190000000000001</v>
      </c>
      <c r="F190" s="353">
        <f t="shared" si="34"/>
        <v>2</v>
      </c>
      <c r="G190" s="973">
        <v>2</v>
      </c>
      <c r="H190" s="354">
        <f t="shared" si="32"/>
        <v>21.01</v>
      </c>
      <c r="I190" s="171">
        <f t="shared" si="33"/>
        <v>42.02</v>
      </c>
      <c r="J190" s="323"/>
      <c r="K190" s="131"/>
    </row>
    <row r="191" spans="1:11" ht="28.5">
      <c r="A191" s="209" t="s">
        <v>834</v>
      </c>
      <c r="B191" s="144">
        <v>92000</v>
      </c>
      <c r="C191" s="322" t="s">
        <v>249</v>
      </c>
      <c r="D191" s="182" t="s">
        <v>57</v>
      </c>
      <c r="E191" s="1953">
        <v>20.52</v>
      </c>
      <c r="F191" s="353">
        <f t="shared" si="34"/>
        <v>32</v>
      </c>
      <c r="G191" s="973">
        <v>32</v>
      </c>
      <c r="H191" s="354">
        <f t="shared" si="32"/>
        <v>25.08</v>
      </c>
      <c r="I191" s="171">
        <f t="shared" si="33"/>
        <v>802.56</v>
      </c>
      <c r="J191" s="323"/>
      <c r="K191" s="658"/>
    </row>
    <row r="192" spans="1:11" ht="28.5">
      <c r="A192" s="209" t="s">
        <v>835</v>
      </c>
      <c r="B192" s="152">
        <v>91997</v>
      </c>
      <c r="C192" s="322" t="s">
        <v>771</v>
      </c>
      <c r="D192" s="182" t="s">
        <v>57</v>
      </c>
      <c r="E192" s="1953">
        <v>24.85</v>
      </c>
      <c r="F192" s="353">
        <f t="shared" si="34"/>
        <v>2</v>
      </c>
      <c r="G192" s="973">
        <v>2</v>
      </c>
      <c r="H192" s="354">
        <f t="shared" si="32"/>
        <v>30.37</v>
      </c>
      <c r="I192" s="171">
        <f t="shared" si="33"/>
        <v>60.74</v>
      </c>
      <c r="J192" s="323"/>
      <c r="K192" s="658"/>
    </row>
    <row r="193" spans="1:11" ht="33" customHeight="1">
      <c r="A193" s="209" t="s">
        <v>836</v>
      </c>
      <c r="B193" s="144">
        <v>91992</v>
      </c>
      <c r="C193" s="322" t="s">
        <v>772</v>
      </c>
      <c r="D193" s="182" t="s">
        <v>57</v>
      </c>
      <c r="E193" s="1953">
        <v>29.97</v>
      </c>
      <c r="F193" s="353">
        <f t="shared" si="34"/>
        <v>2</v>
      </c>
      <c r="G193" s="973">
        <v>2</v>
      </c>
      <c r="H193" s="354">
        <f t="shared" si="32"/>
        <v>36.630000000000003</v>
      </c>
      <c r="I193" s="171">
        <f t="shared" si="33"/>
        <v>73.260000000000005</v>
      </c>
      <c r="J193" s="323"/>
      <c r="K193" s="658"/>
    </row>
    <row r="194" spans="1:11" ht="28.5">
      <c r="A194" s="209" t="s">
        <v>837</v>
      </c>
      <c r="B194" s="144">
        <v>92009</v>
      </c>
      <c r="C194" s="322" t="s">
        <v>250</v>
      </c>
      <c r="D194" s="182" t="s">
        <v>57</v>
      </c>
      <c r="E194" s="1953">
        <v>36.25</v>
      </c>
      <c r="F194" s="353">
        <f t="shared" si="34"/>
        <v>19</v>
      </c>
      <c r="G194" s="973">
        <v>19</v>
      </c>
      <c r="H194" s="354">
        <f t="shared" si="32"/>
        <v>44.3</v>
      </c>
      <c r="I194" s="171">
        <f t="shared" si="33"/>
        <v>841.7</v>
      </c>
      <c r="J194" s="323"/>
      <c r="K194" s="658"/>
    </row>
    <row r="195" spans="1:11" ht="28.5">
      <c r="A195" s="209" t="s">
        <v>838</v>
      </c>
      <c r="B195" s="144">
        <v>93653</v>
      </c>
      <c r="C195" s="322" t="s">
        <v>247</v>
      </c>
      <c r="D195" s="182" t="s">
        <v>57</v>
      </c>
      <c r="E195" s="1953">
        <v>10.220000000000001</v>
      </c>
      <c r="F195" s="353">
        <f t="shared" si="34"/>
        <v>15</v>
      </c>
      <c r="G195" s="973">
        <v>15</v>
      </c>
      <c r="H195" s="354">
        <f t="shared" si="32"/>
        <v>12.49</v>
      </c>
      <c r="I195" s="171">
        <f t="shared" si="33"/>
        <v>187.35</v>
      </c>
      <c r="J195" s="323"/>
      <c r="K195" s="131"/>
    </row>
    <row r="196" spans="1:11" ht="28.5">
      <c r="A196" s="209" t="s">
        <v>1258</v>
      </c>
      <c r="B196" s="144">
        <v>93661</v>
      </c>
      <c r="C196" s="322" t="s">
        <v>1174</v>
      </c>
      <c r="D196" s="182" t="s">
        <v>57</v>
      </c>
      <c r="E196" s="1953">
        <v>51.94</v>
      </c>
      <c r="F196" s="353">
        <f t="shared" si="34"/>
        <v>5</v>
      </c>
      <c r="G196" s="973">
        <v>5</v>
      </c>
      <c r="H196" s="354">
        <f t="shared" si="32"/>
        <v>63.48</v>
      </c>
      <c r="I196" s="171">
        <f t="shared" si="33"/>
        <v>317.39999999999998</v>
      </c>
      <c r="J196" s="323"/>
      <c r="K196" s="131"/>
    </row>
    <row r="197" spans="1:11" ht="28.5">
      <c r="A197" s="209" t="s">
        <v>839</v>
      </c>
      <c r="B197" s="144">
        <v>93660</v>
      </c>
      <c r="C197" s="322" t="s">
        <v>246</v>
      </c>
      <c r="D197" s="182" t="s">
        <v>57</v>
      </c>
      <c r="E197" s="1953">
        <v>50.76</v>
      </c>
      <c r="F197" s="353">
        <f t="shared" si="34"/>
        <v>4</v>
      </c>
      <c r="G197" s="973">
        <v>4</v>
      </c>
      <c r="H197" s="354">
        <f t="shared" si="32"/>
        <v>62.04</v>
      </c>
      <c r="I197" s="171">
        <f t="shared" si="33"/>
        <v>248.16</v>
      </c>
      <c r="J197" s="323"/>
      <c r="K197" s="131"/>
    </row>
    <row r="198" spans="1:11" ht="28.5">
      <c r="A198" s="209" t="s">
        <v>840</v>
      </c>
      <c r="B198" s="144">
        <v>101895</v>
      </c>
      <c r="C198" s="322" t="s">
        <v>1175</v>
      </c>
      <c r="D198" s="182" t="s">
        <v>57</v>
      </c>
      <c r="E198" s="1953">
        <v>374.26</v>
      </c>
      <c r="F198" s="353">
        <f t="shared" si="34"/>
        <v>1</v>
      </c>
      <c r="G198" s="973">
        <v>1</v>
      </c>
      <c r="H198" s="354">
        <f t="shared" si="32"/>
        <v>457.45</v>
      </c>
      <c r="I198" s="171">
        <f t="shared" si="33"/>
        <v>457.45</v>
      </c>
      <c r="J198" s="323"/>
      <c r="K198" s="131"/>
    </row>
    <row r="199" spans="1:11" ht="28.5">
      <c r="A199" s="209" t="s">
        <v>1259</v>
      </c>
      <c r="B199" s="315" t="s">
        <v>1173</v>
      </c>
      <c r="C199" s="322" t="s">
        <v>2409</v>
      </c>
      <c r="D199" s="182" t="s">
        <v>57</v>
      </c>
      <c r="E199" s="1953">
        <v>166.4</v>
      </c>
      <c r="F199" s="353">
        <f t="shared" si="34"/>
        <v>1</v>
      </c>
      <c r="G199" s="973">
        <v>1</v>
      </c>
      <c r="H199" s="354">
        <f t="shared" si="32"/>
        <v>203.39</v>
      </c>
      <c r="I199" s="171">
        <f t="shared" si="33"/>
        <v>203.39</v>
      </c>
      <c r="J199" s="573">
        <f>'COMP ELE'!F388</f>
        <v>166.39999999999998</v>
      </c>
      <c r="K199" s="131"/>
    </row>
    <row r="200" spans="1:11" ht="28.5">
      <c r="A200" s="209"/>
      <c r="B200" s="315" t="s">
        <v>1185</v>
      </c>
      <c r="C200" s="322" t="s">
        <v>1668</v>
      </c>
      <c r="D200" s="182" t="s">
        <v>57</v>
      </c>
      <c r="E200" s="1953">
        <v>166.4</v>
      </c>
      <c r="F200" s="353">
        <f t="shared" si="34"/>
        <v>1</v>
      </c>
      <c r="G200" s="973">
        <v>1</v>
      </c>
      <c r="H200" s="354">
        <f t="shared" si="32"/>
        <v>203.39</v>
      </c>
      <c r="I200" s="171">
        <f t="shared" si="33"/>
        <v>203.39</v>
      </c>
      <c r="J200" s="573">
        <f>'COMP ELE'!F416</f>
        <v>166.39999999999998</v>
      </c>
      <c r="K200" s="131"/>
    </row>
    <row r="201" spans="1:11" ht="28.5">
      <c r="A201" s="209" t="s">
        <v>1260</v>
      </c>
      <c r="B201" s="289">
        <v>91941</v>
      </c>
      <c r="C201" s="322" t="s">
        <v>170</v>
      </c>
      <c r="D201" s="182" t="s">
        <v>57</v>
      </c>
      <c r="E201" s="1953">
        <v>7.46</v>
      </c>
      <c r="F201" s="353">
        <f t="shared" si="34"/>
        <v>54</v>
      </c>
      <c r="G201" s="973">
        <v>54</v>
      </c>
      <c r="H201" s="354">
        <f t="shared" si="32"/>
        <v>9.11</v>
      </c>
      <c r="I201" s="171">
        <f t="shared" si="33"/>
        <v>491.94</v>
      </c>
      <c r="K201" s="131"/>
    </row>
    <row r="202" spans="1:11" ht="29.25" thickBot="1">
      <c r="A202" s="172" t="s">
        <v>1261</v>
      </c>
      <c r="B202" s="1862">
        <v>91940</v>
      </c>
      <c r="C202" s="736" t="s">
        <v>120</v>
      </c>
      <c r="D202" s="1863" t="s">
        <v>57</v>
      </c>
      <c r="E202" s="1955">
        <v>11.15</v>
      </c>
      <c r="F202" s="965">
        <f t="shared" si="34"/>
        <v>16</v>
      </c>
      <c r="G202" s="1864">
        <v>16</v>
      </c>
      <c r="H202" s="955">
        <f t="shared" si="32"/>
        <v>13.62</v>
      </c>
      <c r="I202" s="1821">
        <f t="shared" si="33"/>
        <v>217.92</v>
      </c>
      <c r="K202" s="131"/>
    </row>
    <row r="203" spans="1:11" ht="28.5">
      <c r="A203" s="1865" t="s">
        <v>1262</v>
      </c>
      <c r="B203" s="1866">
        <v>91939</v>
      </c>
      <c r="C203" s="1867" t="s">
        <v>171</v>
      </c>
      <c r="D203" s="1868" t="s">
        <v>57</v>
      </c>
      <c r="E203" s="1962">
        <v>21.01</v>
      </c>
      <c r="F203" s="1826">
        <f t="shared" si="34"/>
        <v>9</v>
      </c>
      <c r="G203" s="1869">
        <v>9</v>
      </c>
      <c r="H203" s="1828">
        <f t="shared" si="32"/>
        <v>25.68</v>
      </c>
      <c r="I203" s="1829">
        <f t="shared" si="33"/>
        <v>231.12</v>
      </c>
      <c r="K203" s="131"/>
    </row>
    <row r="204" spans="1:11" ht="28.5">
      <c r="A204" s="209" t="s">
        <v>1263</v>
      </c>
      <c r="B204" s="1641" t="s">
        <v>1170</v>
      </c>
      <c r="C204" s="322" t="s">
        <v>1140</v>
      </c>
      <c r="D204" s="182" t="s">
        <v>57</v>
      </c>
      <c r="E204" s="1953">
        <v>75.510000000000005</v>
      </c>
      <c r="F204" s="353">
        <f t="shared" si="34"/>
        <v>2</v>
      </c>
      <c r="G204" s="973">
        <v>2</v>
      </c>
      <c r="H204" s="354">
        <f t="shared" si="32"/>
        <v>92.29</v>
      </c>
      <c r="I204" s="171">
        <f t="shared" si="33"/>
        <v>184.58</v>
      </c>
      <c r="J204" s="573">
        <f>'COMP ELE'!F377</f>
        <v>75.510000000000005</v>
      </c>
      <c r="K204" s="544"/>
    </row>
    <row r="205" spans="1:11" ht="28.5">
      <c r="A205" s="209" t="s">
        <v>1264</v>
      </c>
      <c r="B205" s="1641" t="s">
        <v>508</v>
      </c>
      <c r="C205" s="322" t="s">
        <v>1141</v>
      </c>
      <c r="D205" s="182" t="s">
        <v>57</v>
      </c>
      <c r="E205" s="1953">
        <v>113.76</v>
      </c>
      <c r="F205" s="353">
        <f t="shared" si="34"/>
        <v>5</v>
      </c>
      <c r="G205" s="973">
        <v>5</v>
      </c>
      <c r="H205" s="354">
        <f t="shared" si="32"/>
        <v>139.04</v>
      </c>
      <c r="I205" s="171">
        <f t="shared" si="33"/>
        <v>695.2</v>
      </c>
      <c r="J205" s="574">
        <f>'COMP ELE'!F269</f>
        <v>113.75999999999999</v>
      </c>
      <c r="K205" s="544"/>
    </row>
    <row r="206" spans="1:11" ht="20.25" customHeight="1">
      <c r="A206" s="209" t="s">
        <v>1265</v>
      </c>
      <c r="B206" s="315" t="s">
        <v>1177</v>
      </c>
      <c r="C206" s="322" t="s">
        <v>248</v>
      </c>
      <c r="D206" s="182" t="s">
        <v>57</v>
      </c>
      <c r="E206" s="1953">
        <v>72.16</v>
      </c>
      <c r="F206" s="353">
        <f t="shared" si="34"/>
        <v>4</v>
      </c>
      <c r="G206" s="973">
        <v>4</v>
      </c>
      <c r="H206" s="354">
        <f t="shared" si="32"/>
        <v>88.2</v>
      </c>
      <c r="I206" s="171">
        <f t="shared" si="33"/>
        <v>352.8</v>
      </c>
      <c r="J206" s="574">
        <f>'COMP ELE'!F405</f>
        <v>72.16</v>
      </c>
      <c r="K206" s="131"/>
    </row>
    <row r="207" spans="1:11" ht="22.5" customHeight="1">
      <c r="A207" s="209" t="s">
        <v>1266</v>
      </c>
      <c r="B207" s="315" t="s">
        <v>496</v>
      </c>
      <c r="C207" s="322" t="s">
        <v>1188</v>
      </c>
      <c r="D207" s="182" t="s">
        <v>57</v>
      </c>
      <c r="E207" s="1953">
        <v>3.16</v>
      </c>
      <c r="F207" s="353">
        <f t="shared" si="34"/>
        <v>62</v>
      </c>
      <c r="G207" s="973">
        <v>62</v>
      </c>
      <c r="H207" s="354">
        <f t="shared" si="32"/>
        <v>3.86</v>
      </c>
      <c r="I207" s="171">
        <f t="shared" si="33"/>
        <v>239.32</v>
      </c>
      <c r="J207" s="824">
        <f>'COMP ELE'!F218</f>
        <v>3.16</v>
      </c>
      <c r="K207" s="822"/>
    </row>
    <row r="208" spans="1:11" ht="21.75" customHeight="1">
      <c r="A208" s="209" t="s">
        <v>1267</v>
      </c>
      <c r="B208" s="315" t="s">
        <v>1187</v>
      </c>
      <c r="C208" s="322" t="s">
        <v>1189</v>
      </c>
      <c r="D208" s="182" t="s">
        <v>57</v>
      </c>
      <c r="E208" s="1953">
        <v>3.95</v>
      </c>
      <c r="F208" s="353">
        <f t="shared" si="34"/>
        <v>26</v>
      </c>
      <c r="G208" s="973">
        <v>26</v>
      </c>
      <c r="H208" s="354">
        <f t="shared" si="32"/>
        <v>4.82</v>
      </c>
      <c r="I208" s="171">
        <f t="shared" si="33"/>
        <v>125.32</v>
      </c>
      <c r="J208" s="573">
        <f>'COMP ELE'!F433</f>
        <v>3.9499999999999997</v>
      </c>
      <c r="K208" s="131"/>
    </row>
    <row r="209" spans="1:14" ht="36" customHeight="1">
      <c r="A209" s="209" t="s">
        <v>1268</v>
      </c>
      <c r="B209" s="315">
        <v>95730</v>
      </c>
      <c r="C209" s="322" t="s">
        <v>1181</v>
      </c>
      <c r="D209" s="289" t="s">
        <v>56</v>
      </c>
      <c r="E209" s="1953">
        <v>7.39</v>
      </c>
      <c r="F209" s="353">
        <f t="shared" si="34"/>
        <v>15.9</v>
      </c>
      <c r="G209" s="973">
        <v>15.9</v>
      </c>
      <c r="H209" s="354">
        <f t="shared" si="32"/>
        <v>9.0299999999999994</v>
      </c>
      <c r="I209" s="171">
        <f t="shared" si="33"/>
        <v>143.57</v>
      </c>
      <c r="J209" s="205"/>
      <c r="K209" s="131"/>
    </row>
    <row r="210" spans="1:14" ht="33" customHeight="1">
      <c r="A210" s="209" t="s">
        <v>1269</v>
      </c>
      <c r="B210" s="315">
        <v>95727</v>
      </c>
      <c r="C210" s="322" t="s">
        <v>1182</v>
      </c>
      <c r="D210" s="289" t="s">
        <v>56</v>
      </c>
      <c r="E210" s="1953">
        <v>5.84</v>
      </c>
      <c r="F210" s="353">
        <f t="shared" si="34"/>
        <v>55.35</v>
      </c>
      <c r="G210" s="973">
        <v>55.35</v>
      </c>
      <c r="H210" s="354">
        <f t="shared" si="32"/>
        <v>7.13</v>
      </c>
      <c r="I210" s="171">
        <f t="shared" si="33"/>
        <v>394.64</v>
      </c>
      <c r="J210" s="205"/>
      <c r="K210" s="683"/>
    </row>
    <row r="211" spans="1:14" ht="31.5" customHeight="1">
      <c r="A211" s="209" t="s">
        <v>1270</v>
      </c>
      <c r="B211" s="315">
        <v>91846</v>
      </c>
      <c r="C211" s="322" t="s">
        <v>378</v>
      </c>
      <c r="D211" s="289" t="s">
        <v>56</v>
      </c>
      <c r="E211" s="1953">
        <v>6.91</v>
      </c>
      <c r="F211" s="353">
        <f t="shared" si="34"/>
        <v>10</v>
      </c>
      <c r="G211" s="973">
        <v>10</v>
      </c>
      <c r="H211" s="354">
        <f t="shared" si="32"/>
        <v>8.44</v>
      </c>
      <c r="I211" s="171">
        <f t="shared" si="33"/>
        <v>84.4</v>
      </c>
      <c r="J211" s="205"/>
      <c r="K211" s="131"/>
    </row>
    <row r="212" spans="1:14" ht="36" customHeight="1">
      <c r="A212" s="209" t="s">
        <v>1271</v>
      </c>
      <c r="B212" s="315">
        <v>91844</v>
      </c>
      <c r="C212" s="322" t="s">
        <v>379</v>
      </c>
      <c r="D212" s="289" t="s">
        <v>56</v>
      </c>
      <c r="E212" s="1953">
        <v>4.93</v>
      </c>
      <c r="F212" s="353">
        <f t="shared" si="34"/>
        <v>264.10000000000002</v>
      </c>
      <c r="G212" s="973">
        <v>264.10000000000002</v>
      </c>
      <c r="H212" s="354">
        <f t="shared" si="32"/>
        <v>6.02</v>
      </c>
      <c r="I212" s="171">
        <f t="shared" si="33"/>
        <v>1589.88</v>
      </c>
      <c r="J212" s="205"/>
      <c r="K212" s="131"/>
    </row>
    <row r="213" spans="1:14" ht="45" customHeight="1">
      <c r="A213" s="209" t="s">
        <v>1272</v>
      </c>
      <c r="B213" s="315">
        <v>91854</v>
      </c>
      <c r="C213" s="322" t="s">
        <v>1183</v>
      </c>
      <c r="D213" s="289" t="s">
        <v>56</v>
      </c>
      <c r="E213" s="1953">
        <v>6.82</v>
      </c>
      <c r="F213" s="353">
        <f t="shared" si="34"/>
        <v>13.25</v>
      </c>
      <c r="G213" s="973">
        <v>13.25</v>
      </c>
      <c r="H213" s="354">
        <f t="shared" si="32"/>
        <v>8.33</v>
      </c>
      <c r="I213" s="171">
        <f t="shared" si="33"/>
        <v>110.37</v>
      </c>
      <c r="J213" s="205"/>
      <c r="K213" s="131"/>
    </row>
    <row r="214" spans="1:14" ht="33.75" customHeight="1">
      <c r="A214" s="209" t="s">
        <v>1273</v>
      </c>
      <c r="B214" s="315">
        <v>97667</v>
      </c>
      <c r="C214" s="322" t="s">
        <v>773</v>
      </c>
      <c r="D214" s="289" t="s">
        <v>56</v>
      </c>
      <c r="E214" s="1953">
        <v>6.44</v>
      </c>
      <c r="F214" s="353">
        <f t="shared" si="34"/>
        <v>19.5</v>
      </c>
      <c r="G214" s="973">
        <v>19.5</v>
      </c>
      <c r="H214" s="354">
        <f t="shared" si="32"/>
        <v>7.87</v>
      </c>
      <c r="I214" s="171">
        <f t="shared" si="33"/>
        <v>153.46</v>
      </c>
      <c r="J214" s="205"/>
      <c r="K214" s="131"/>
    </row>
    <row r="215" spans="1:14" ht="30.75" customHeight="1">
      <c r="A215" s="209" t="s">
        <v>1274</v>
      </c>
      <c r="B215" s="315" t="s">
        <v>1190</v>
      </c>
      <c r="C215" s="322" t="s">
        <v>1180</v>
      </c>
      <c r="D215" s="166" t="s">
        <v>57</v>
      </c>
      <c r="E215" s="1953">
        <v>367.99</v>
      </c>
      <c r="F215" s="353">
        <f t="shared" si="34"/>
        <v>23</v>
      </c>
      <c r="G215" s="973">
        <v>23</v>
      </c>
      <c r="H215" s="354">
        <f t="shared" si="32"/>
        <v>449.79</v>
      </c>
      <c r="I215" s="171">
        <f t="shared" si="33"/>
        <v>10345.17</v>
      </c>
      <c r="J215" s="573">
        <f>'COMP ELE'!F452</f>
        <v>367.99</v>
      </c>
      <c r="K215" s="659"/>
    </row>
    <row r="216" spans="1:14" ht="30.75" customHeight="1">
      <c r="A216" s="209" t="s">
        <v>1275</v>
      </c>
      <c r="B216" s="315" t="s">
        <v>1192</v>
      </c>
      <c r="C216" s="322" t="s">
        <v>1202</v>
      </c>
      <c r="D216" s="166" t="s">
        <v>57</v>
      </c>
      <c r="E216" s="1963">
        <v>58.11</v>
      </c>
      <c r="F216" s="353">
        <f t="shared" si="34"/>
        <v>5</v>
      </c>
      <c r="G216" s="1870">
        <v>5</v>
      </c>
      <c r="H216" s="354">
        <f t="shared" si="32"/>
        <v>71.02</v>
      </c>
      <c r="I216" s="171">
        <f t="shared" si="33"/>
        <v>355.1</v>
      </c>
      <c r="J216" s="573">
        <f>'COMP ELE'!F470</f>
        <v>58.11</v>
      </c>
      <c r="K216" s="659"/>
    </row>
    <row r="217" spans="1:14" ht="30.75" customHeight="1">
      <c r="A217" s="209" t="s">
        <v>1276</v>
      </c>
      <c r="B217" s="315" t="s">
        <v>1195</v>
      </c>
      <c r="C217" s="322" t="s">
        <v>1201</v>
      </c>
      <c r="D217" s="166" t="s">
        <v>57</v>
      </c>
      <c r="E217" s="1963">
        <v>34.520000000000003</v>
      </c>
      <c r="F217" s="353">
        <f t="shared" si="34"/>
        <v>5</v>
      </c>
      <c r="G217" s="1870">
        <v>5</v>
      </c>
      <c r="H217" s="354">
        <f t="shared" si="32"/>
        <v>42.19</v>
      </c>
      <c r="I217" s="171">
        <f t="shared" si="33"/>
        <v>210.95</v>
      </c>
      <c r="J217" s="573">
        <f>'COMP ELE'!F488</f>
        <v>34.520000000000003</v>
      </c>
      <c r="K217" s="659"/>
    </row>
    <row r="218" spans="1:14" ht="30.75" customHeight="1">
      <c r="A218" s="209" t="s">
        <v>1277</v>
      </c>
      <c r="B218" s="315" t="s">
        <v>1196</v>
      </c>
      <c r="C218" s="322" t="s">
        <v>1208</v>
      </c>
      <c r="D218" s="166" t="s">
        <v>57</v>
      </c>
      <c r="E218" s="1963">
        <v>71.61</v>
      </c>
      <c r="F218" s="353">
        <f t="shared" si="34"/>
        <v>4</v>
      </c>
      <c r="G218" s="1870">
        <v>4</v>
      </c>
      <c r="H218" s="354">
        <f t="shared" si="32"/>
        <v>87.52</v>
      </c>
      <c r="I218" s="171">
        <f t="shared" si="33"/>
        <v>350.08</v>
      </c>
      <c r="J218" s="573">
        <f>'COMP ELE'!F507</f>
        <v>71.61</v>
      </c>
      <c r="K218" s="659"/>
    </row>
    <row r="219" spans="1:14" ht="20.25" customHeight="1">
      <c r="A219" s="209" t="s">
        <v>1278</v>
      </c>
      <c r="B219" s="315" t="s">
        <v>1200</v>
      </c>
      <c r="C219" s="322" t="s">
        <v>1199</v>
      </c>
      <c r="D219" s="166" t="s">
        <v>57</v>
      </c>
      <c r="E219" s="1963">
        <v>5.01</v>
      </c>
      <c r="F219" s="353">
        <f t="shared" si="34"/>
        <v>5</v>
      </c>
      <c r="G219" s="1870">
        <v>5</v>
      </c>
      <c r="H219" s="354">
        <f t="shared" si="32"/>
        <v>6.12</v>
      </c>
      <c r="I219" s="171">
        <f t="shared" si="33"/>
        <v>30.6</v>
      </c>
      <c r="J219" s="573">
        <f>'COMP ELE'!F524</f>
        <v>5.01</v>
      </c>
      <c r="K219" s="659"/>
    </row>
    <row r="220" spans="1:14" ht="31.5" customHeight="1">
      <c r="A220" s="209" t="s">
        <v>1279</v>
      </c>
      <c r="B220" s="1871">
        <v>90447</v>
      </c>
      <c r="C220" s="322" t="s">
        <v>1179</v>
      </c>
      <c r="D220" s="289" t="s">
        <v>56</v>
      </c>
      <c r="E220" s="1963">
        <v>4.97</v>
      </c>
      <c r="F220" s="353">
        <f t="shared" si="34"/>
        <v>13.25</v>
      </c>
      <c r="G220" s="1870">
        <v>13.25</v>
      </c>
      <c r="H220" s="354">
        <f t="shared" si="32"/>
        <v>6.07</v>
      </c>
      <c r="I220" s="171">
        <f t="shared" si="33"/>
        <v>80.42</v>
      </c>
      <c r="J220" s="573"/>
      <c r="K220" s="659"/>
    </row>
    <row r="221" spans="1:14" ht="15.75" thickBot="1">
      <c r="A221" s="172"/>
      <c r="B221" s="1872"/>
      <c r="C221" s="1873"/>
      <c r="D221" s="175"/>
      <c r="E221" s="953"/>
      <c r="F221" s="954"/>
      <c r="G221" s="955"/>
      <c r="H221" s="956" t="s">
        <v>16</v>
      </c>
      <c r="I221" s="178">
        <f>TRUNC(SUM(I170:I220),2)</f>
        <v>34919.25</v>
      </c>
      <c r="K221" s="131"/>
    </row>
    <row r="222" spans="1:14" ht="13.5" customHeight="1">
      <c r="A222" s="1855" t="s">
        <v>82</v>
      </c>
      <c r="B222" s="1856"/>
      <c r="C222" s="1857" t="s">
        <v>701</v>
      </c>
      <c r="D222" s="1856"/>
      <c r="E222" s="1858"/>
      <c r="F222" s="1859" t="str">
        <f>IF(OR(E222&lt;=0)," ",TRUNC(G222,2))</f>
        <v xml:space="preserve"> </v>
      </c>
      <c r="G222" s="1860"/>
      <c r="H222" s="1860" t="str">
        <f>IF(OR(E222&lt;=0)," ",TRUNC((E222*(1+$I$9)),2))</f>
        <v xml:space="preserve"> </v>
      </c>
      <c r="I222" s="1861" t="str">
        <f>IF(OR(E222&lt;=0)," ",TRUNC((H222*F222),2))</f>
        <v xml:space="preserve"> </v>
      </c>
      <c r="J222" s="850"/>
      <c r="K222" s="131"/>
    </row>
    <row r="223" spans="1:14" ht="19.5" customHeight="1">
      <c r="A223" s="209" t="s">
        <v>841</v>
      </c>
      <c r="B223" s="1641" t="s">
        <v>466</v>
      </c>
      <c r="C223" s="1874" t="s">
        <v>467</v>
      </c>
      <c r="D223" s="327" t="s">
        <v>57</v>
      </c>
      <c r="E223" s="1959">
        <v>23.45</v>
      </c>
      <c r="F223" s="353">
        <f t="shared" ref="F223:F250" si="35">IF(OR(E223&lt;=0)," ",TRUNC(G223,2))</f>
        <v>8</v>
      </c>
      <c r="G223" s="352">
        <v>8</v>
      </c>
      <c r="H223" s="354">
        <f t="shared" ref="H223:H250" si="36">IF(OR(E223&lt;=0)," ",TRUNC((E223*(1+$I$9)),2))</f>
        <v>28.66</v>
      </c>
      <c r="I223" s="171">
        <f t="shared" ref="I223:I250" si="37">IF(OR(E223&lt;=0)," ",TRUNC((H223*F223),2))</f>
        <v>229.28</v>
      </c>
      <c r="J223" s="1642">
        <f>'COMP ELE'!F24</f>
        <v>23.45</v>
      </c>
      <c r="K223" s="131"/>
    </row>
    <row r="224" spans="1:14" ht="30" customHeight="1">
      <c r="A224" s="209" t="s">
        <v>842</v>
      </c>
      <c r="B224" s="1641">
        <v>98302</v>
      </c>
      <c r="C224" s="322" t="s">
        <v>376</v>
      </c>
      <c r="D224" s="327" t="s">
        <v>57</v>
      </c>
      <c r="E224" s="1959">
        <v>566.16</v>
      </c>
      <c r="F224" s="353">
        <f t="shared" si="35"/>
        <v>3</v>
      </c>
      <c r="G224" s="352">
        <v>3</v>
      </c>
      <c r="H224" s="354">
        <f t="shared" si="36"/>
        <v>692.01</v>
      </c>
      <c r="I224" s="171">
        <f t="shared" si="37"/>
        <v>2076.0300000000002</v>
      </c>
      <c r="J224" s="1643"/>
      <c r="K224" s="657"/>
      <c r="L224" s="373"/>
      <c r="M224" s="373"/>
      <c r="N224" s="373"/>
    </row>
    <row r="225" spans="1:14" ht="21" customHeight="1">
      <c r="A225" s="209" t="s">
        <v>843</v>
      </c>
      <c r="B225" s="1641" t="s">
        <v>477</v>
      </c>
      <c r="C225" s="322" t="s">
        <v>1101</v>
      </c>
      <c r="D225" s="327" t="s">
        <v>57</v>
      </c>
      <c r="E225" s="1959">
        <v>69.510000000000005</v>
      </c>
      <c r="F225" s="353">
        <f t="shared" si="35"/>
        <v>1</v>
      </c>
      <c r="G225" s="352">
        <v>1</v>
      </c>
      <c r="H225" s="354">
        <f t="shared" si="36"/>
        <v>84.96</v>
      </c>
      <c r="I225" s="171">
        <f t="shared" si="37"/>
        <v>84.96</v>
      </c>
      <c r="J225" s="1644">
        <f>'COMP ELE'!F67</f>
        <v>69.510000000000005</v>
      </c>
      <c r="K225" s="657"/>
      <c r="L225" s="373"/>
      <c r="M225" s="373"/>
      <c r="N225" s="373"/>
    </row>
    <row r="226" spans="1:14" ht="21" customHeight="1" thickBot="1">
      <c r="A226" s="172" t="s">
        <v>844</v>
      </c>
      <c r="B226" s="198" t="s">
        <v>470</v>
      </c>
      <c r="C226" s="736" t="s">
        <v>1103</v>
      </c>
      <c r="D226" s="1875" t="s">
        <v>57</v>
      </c>
      <c r="E226" s="1964">
        <v>29.84</v>
      </c>
      <c r="F226" s="965">
        <f t="shared" si="35"/>
        <v>1</v>
      </c>
      <c r="G226" s="1877">
        <v>1</v>
      </c>
      <c r="H226" s="955">
        <f t="shared" si="36"/>
        <v>36.47</v>
      </c>
      <c r="I226" s="1821">
        <f t="shared" si="37"/>
        <v>36.47</v>
      </c>
      <c r="J226" s="1644">
        <f>'COMP ELE'!F51</f>
        <v>29.84</v>
      </c>
      <c r="K226" s="657"/>
      <c r="L226" s="373"/>
      <c r="M226" s="373"/>
      <c r="N226" s="373"/>
    </row>
    <row r="227" spans="1:14" ht="21" customHeight="1">
      <c r="A227" s="1865" t="s">
        <v>845</v>
      </c>
      <c r="B227" s="1878" t="s">
        <v>469</v>
      </c>
      <c r="C227" s="1867" t="s">
        <v>1102</v>
      </c>
      <c r="D227" s="1879" t="s">
        <v>57</v>
      </c>
      <c r="E227" s="1965">
        <v>33.01</v>
      </c>
      <c r="F227" s="1826">
        <f t="shared" si="35"/>
        <v>3</v>
      </c>
      <c r="G227" s="1880">
        <v>3</v>
      </c>
      <c r="H227" s="1828">
        <f t="shared" si="36"/>
        <v>40.340000000000003</v>
      </c>
      <c r="I227" s="1829">
        <f t="shared" si="37"/>
        <v>121.02</v>
      </c>
      <c r="J227" s="1644">
        <f>'COMP ELE'!F35</f>
        <v>33.01</v>
      </c>
      <c r="K227" s="657"/>
      <c r="L227" s="373"/>
      <c r="M227" s="373"/>
      <c r="N227" s="373"/>
    </row>
    <row r="228" spans="1:14" ht="17.25" customHeight="1">
      <c r="A228" s="209" t="s">
        <v>846</v>
      </c>
      <c r="B228" s="1641" t="s">
        <v>479</v>
      </c>
      <c r="C228" s="322" t="s">
        <v>2391</v>
      </c>
      <c r="D228" s="327" t="s">
        <v>57</v>
      </c>
      <c r="E228" s="1959">
        <v>1792.38</v>
      </c>
      <c r="F228" s="353">
        <f t="shared" si="35"/>
        <v>1</v>
      </c>
      <c r="G228" s="352">
        <v>1</v>
      </c>
      <c r="H228" s="354">
        <f t="shared" si="36"/>
        <v>2190.8200000000002</v>
      </c>
      <c r="I228" s="171">
        <f t="shared" si="37"/>
        <v>2190.8200000000002</v>
      </c>
      <c r="J228" s="1644">
        <f>'COMP ELE'!F84</f>
        <v>1792.38</v>
      </c>
      <c r="K228" s="2051"/>
      <c r="L228" s="2051"/>
      <c r="M228" s="373"/>
      <c r="N228" s="373"/>
    </row>
    <row r="229" spans="1:14" ht="32.25" customHeight="1">
      <c r="A229" s="209" t="s">
        <v>847</v>
      </c>
      <c r="B229" s="1641" t="s">
        <v>490</v>
      </c>
      <c r="C229" s="322" t="s">
        <v>2361</v>
      </c>
      <c r="D229" s="327" t="s">
        <v>57</v>
      </c>
      <c r="E229" s="1959">
        <v>317.81</v>
      </c>
      <c r="F229" s="353">
        <f t="shared" si="35"/>
        <v>1</v>
      </c>
      <c r="G229" s="352">
        <v>1</v>
      </c>
      <c r="H229" s="354">
        <f t="shared" si="36"/>
        <v>388.45</v>
      </c>
      <c r="I229" s="171">
        <f t="shared" si="37"/>
        <v>388.45</v>
      </c>
      <c r="J229" s="1644">
        <f>'COMP ELE'!F155</f>
        <v>317.81</v>
      </c>
      <c r="K229" s="1625"/>
      <c r="L229" s="1625"/>
      <c r="M229" s="373"/>
      <c r="N229" s="373"/>
    </row>
    <row r="230" spans="1:14" ht="34.5" customHeight="1">
      <c r="A230" s="209" t="s">
        <v>848</v>
      </c>
      <c r="B230" s="1641">
        <v>91941</v>
      </c>
      <c r="C230" s="322" t="s">
        <v>377</v>
      </c>
      <c r="D230" s="327" t="s">
        <v>57</v>
      </c>
      <c r="E230" s="1959">
        <v>7.46</v>
      </c>
      <c r="F230" s="353">
        <f t="shared" si="35"/>
        <v>5</v>
      </c>
      <c r="G230" s="352">
        <v>5</v>
      </c>
      <c r="H230" s="354">
        <f t="shared" si="36"/>
        <v>9.11</v>
      </c>
      <c r="I230" s="171">
        <f t="shared" si="37"/>
        <v>45.55</v>
      </c>
      <c r="J230" s="321"/>
      <c r="K230" s="657"/>
      <c r="L230" s="373"/>
      <c r="M230" s="373"/>
      <c r="N230" s="373"/>
    </row>
    <row r="231" spans="1:14" ht="27.75" customHeight="1">
      <c r="A231" s="209" t="s">
        <v>1280</v>
      </c>
      <c r="B231" s="1641">
        <v>91939</v>
      </c>
      <c r="C231" s="1654" t="s">
        <v>171</v>
      </c>
      <c r="D231" s="327" t="s">
        <v>57</v>
      </c>
      <c r="E231" s="1959">
        <v>21.01</v>
      </c>
      <c r="F231" s="353">
        <f t="shared" si="35"/>
        <v>1</v>
      </c>
      <c r="G231" s="352">
        <v>1</v>
      </c>
      <c r="H231" s="354">
        <f t="shared" si="36"/>
        <v>25.68</v>
      </c>
      <c r="I231" s="171">
        <f t="shared" si="37"/>
        <v>25.68</v>
      </c>
      <c r="J231" s="321"/>
      <c r="K231" s="657"/>
      <c r="L231" s="373"/>
      <c r="M231" s="373"/>
      <c r="N231" s="373"/>
    </row>
    <row r="232" spans="1:14" ht="30.75" customHeight="1">
      <c r="A232" s="209" t="s">
        <v>849</v>
      </c>
      <c r="B232" s="1641" t="s">
        <v>499</v>
      </c>
      <c r="C232" s="322" t="s">
        <v>1113</v>
      </c>
      <c r="D232" s="327" t="s">
        <v>57</v>
      </c>
      <c r="E232" s="1959">
        <v>209.63</v>
      </c>
      <c r="F232" s="353">
        <f t="shared" si="35"/>
        <v>1</v>
      </c>
      <c r="G232" s="352">
        <v>1</v>
      </c>
      <c r="H232" s="354">
        <f t="shared" si="36"/>
        <v>256.23</v>
      </c>
      <c r="I232" s="171">
        <f t="shared" si="37"/>
        <v>256.23</v>
      </c>
      <c r="J232" s="573">
        <f>'COMP ELE'!F247</f>
        <v>209.63</v>
      </c>
      <c r="K232" s="544"/>
    </row>
    <row r="233" spans="1:14" ht="30" customHeight="1">
      <c r="A233" s="209" t="s">
        <v>850</v>
      </c>
      <c r="B233" s="1641" t="s">
        <v>506</v>
      </c>
      <c r="C233" s="322" t="s">
        <v>1114</v>
      </c>
      <c r="D233" s="327" t="s">
        <v>57</v>
      </c>
      <c r="E233" s="1959">
        <v>44.57</v>
      </c>
      <c r="F233" s="353">
        <f t="shared" si="35"/>
        <v>1</v>
      </c>
      <c r="G233" s="352">
        <v>1</v>
      </c>
      <c r="H233" s="354">
        <f t="shared" si="36"/>
        <v>54.47</v>
      </c>
      <c r="I233" s="171">
        <f t="shared" si="37"/>
        <v>54.47</v>
      </c>
      <c r="J233" s="573">
        <f>'COMP ELE'!F258</f>
        <v>44.569999999999993</v>
      </c>
      <c r="K233" s="131"/>
    </row>
    <row r="234" spans="1:14" ht="33" customHeight="1">
      <c r="A234" s="209" t="s">
        <v>851</v>
      </c>
      <c r="B234" s="1641" t="s">
        <v>508</v>
      </c>
      <c r="C234" s="322" t="s">
        <v>1115</v>
      </c>
      <c r="D234" s="327" t="s">
        <v>57</v>
      </c>
      <c r="E234" s="1959">
        <v>113.76</v>
      </c>
      <c r="F234" s="353">
        <f t="shared" si="35"/>
        <v>2</v>
      </c>
      <c r="G234" s="352">
        <v>2</v>
      </c>
      <c r="H234" s="354">
        <f t="shared" si="36"/>
        <v>139.04</v>
      </c>
      <c r="I234" s="171">
        <f t="shared" si="37"/>
        <v>278.08</v>
      </c>
      <c r="J234" s="573">
        <f>'COMP ELE'!F269</f>
        <v>113.75999999999999</v>
      </c>
      <c r="K234" s="131"/>
    </row>
    <row r="235" spans="1:14" ht="31.5" customHeight="1">
      <c r="A235" s="209" t="s">
        <v>1106</v>
      </c>
      <c r="B235" s="1641">
        <v>98295</v>
      </c>
      <c r="C235" s="322" t="s">
        <v>1122</v>
      </c>
      <c r="D235" s="325" t="s">
        <v>56</v>
      </c>
      <c r="E235" s="1959">
        <v>1.36</v>
      </c>
      <c r="F235" s="353">
        <f t="shared" si="35"/>
        <v>570.70000000000005</v>
      </c>
      <c r="G235" s="352">
        <v>570.70000000000005</v>
      </c>
      <c r="H235" s="354">
        <f t="shared" si="36"/>
        <v>1.66</v>
      </c>
      <c r="I235" s="171">
        <f t="shared" si="37"/>
        <v>947.36</v>
      </c>
      <c r="J235" s="573"/>
      <c r="K235" s="805" t="s">
        <v>1123</v>
      </c>
    </row>
    <row r="236" spans="1:14" ht="18.75" customHeight="1">
      <c r="A236" s="209" t="s">
        <v>1107</v>
      </c>
      <c r="B236" s="1641" t="s">
        <v>2400</v>
      </c>
      <c r="C236" s="322" t="s">
        <v>1135</v>
      </c>
      <c r="D236" s="325" t="s">
        <v>56</v>
      </c>
      <c r="E236" s="1959">
        <v>8.7899999999999991</v>
      </c>
      <c r="F236" s="353">
        <f t="shared" si="35"/>
        <v>84</v>
      </c>
      <c r="G236" s="352">
        <v>84</v>
      </c>
      <c r="H236" s="354">
        <f t="shared" si="36"/>
        <v>10.74</v>
      </c>
      <c r="I236" s="171">
        <f t="shared" si="37"/>
        <v>902.16</v>
      </c>
      <c r="J236" s="573">
        <f>'COMP ELE'!F558</f>
        <v>8.7899999999999991</v>
      </c>
      <c r="K236" s="804" t="s">
        <v>1136</v>
      </c>
    </row>
    <row r="237" spans="1:14" ht="21" customHeight="1">
      <c r="A237" s="209" t="s">
        <v>1108</v>
      </c>
      <c r="B237" s="1641" t="s">
        <v>493</v>
      </c>
      <c r="C237" s="322" t="s">
        <v>1132</v>
      </c>
      <c r="D237" s="327" t="s">
        <v>57</v>
      </c>
      <c r="E237" s="1959">
        <v>208.93</v>
      </c>
      <c r="F237" s="353">
        <f t="shared" si="35"/>
        <v>3</v>
      </c>
      <c r="G237" s="352">
        <v>3</v>
      </c>
      <c r="H237" s="354">
        <f t="shared" si="36"/>
        <v>255.37</v>
      </c>
      <c r="I237" s="171">
        <f t="shared" si="37"/>
        <v>766.11</v>
      </c>
      <c r="J237" s="573">
        <f>'COMP ELE'!F184</f>
        <v>208.93</v>
      </c>
      <c r="K237" s="131"/>
    </row>
    <row r="238" spans="1:14" ht="22.5" customHeight="1">
      <c r="A238" s="209" t="s">
        <v>1109</v>
      </c>
      <c r="B238" s="1641" t="s">
        <v>1121</v>
      </c>
      <c r="C238" s="322" t="s">
        <v>1133</v>
      </c>
      <c r="D238" s="800" t="s">
        <v>57</v>
      </c>
      <c r="E238" s="1959">
        <v>21.93</v>
      </c>
      <c r="F238" s="353">
        <f t="shared" si="35"/>
        <v>59</v>
      </c>
      <c r="G238" s="352">
        <v>59</v>
      </c>
      <c r="H238" s="354">
        <f t="shared" si="36"/>
        <v>26.8</v>
      </c>
      <c r="I238" s="171">
        <f t="shared" si="37"/>
        <v>1581.2</v>
      </c>
      <c r="J238" s="573">
        <f>'COMP ELE'!F201</f>
        <v>21.93</v>
      </c>
      <c r="K238" s="131"/>
    </row>
    <row r="239" spans="1:14" ht="17.25" customHeight="1" thickBot="1">
      <c r="A239" s="209" t="s">
        <v>1110</v>
      </c>
      <c r="B239" s="1641" t="s">
        <v>2403</v>
      </c>
      <c r="C239" s="322" t="s">
        <v>1137</v>
      </c>
      <c r="D239" s="327" t="s">
        <v>57</v>
      </c>
      <c r="E239" s="1959">
        <v>5246.36</v>
      </c>
      <c r="F239" s="353">
        <f t="shared" si="35"/>
        <v>1</v>
      </c>
      <c r="G239" s="352">
        <v>1</v>
      </c>
      <c r="H239" s="354">
        <f t="shared" si="36"/>
        <v>6412.62</v>
      </c>
      <c r="I239" s="171">
        <f t="shared" si="37"/>
        <v>6412.62</v>
      </c>
      <c r="J239" s="573">
        <f>'COMP ELE'!F536</f>
        <v>5246.36</v>
      </c>
      <c r="K239" s="131"/>
    </row>
    <row r="240" spans="1:14" ht="21" customHeight="1">
      <c r="A240" s="209" t="s">
        <v>1111</v>
      </c>
      <c r="B240" s="1641">
        <v>98307</v>
      </c>
      <c r="C240" s="1655" t="s">
        <v>1131</v>
      </c>
      <c r="D240" s="327" t="s">
        <v>57</v>
      </c>
      <c r="E240" s="1959">
        <v>35.1</v>
      </c>
      <c r="F240" s="353">
        <f t="shared" si="35"/>
        <v>22</v>
      </c>
      <c r="G240" s="352">
        <v>22</v>
      </c>
      <c r="H240" s="354">
        <f t="shared" si="36"/>
        <v>42.9</v>
      </c>
      <c r="I240" s="171">
        <f t="shared" si="37"/>
        <v>943.8</v>
      </c>
      <c r="J240" s="573"/>
      <c r="K240" s="810"/>
    </row>
    <row r="241" spans="1:11" ht="31.5" customHeight="1">
      <c r="A241" s="209" t="s">
        <v>1112</v>
      </c>
      <c r="B241" s="1641">
        <v>95781</v>
      </c>
      <c r="C241" s="322" t="s">
        <v>1128</v>
      </c>
      <c r="D241" s="327" t="s">
        <v>57</v>
      </c>
      <c r="E241" s="1959">
        <v>25.74</v>
      </c>
      <c r="F241" s="353">
        <f t="shared" si="35"/>
        <v>22</v>
      </c>
      <c r="G241" s="352">
        <v>22</v>
      </c>
      <c r="H241" s="354">
        <f t="shared" si="36"/>
        <v>31.46</v>
      </c>
      <c r="I241" s="171">
        <f t="shared" si="37"/>
        <v>692.12</v>
      </c>
      <c r="J241" s="573"/>
      <c r="K241" s="131"/>
    </row>
    <row r="242" spans="1:11" ht="21.75" customHeight="1">
      <c r="A242" s="209" t="s">
        <v>1281</v>
      </c>
      <c r="B242" s="1641" t="s">
        <v>482</v>
      </c>
      <c r="C242" s="322" t="s">
        <v>480</v>
      </c>
      <c r="D242" s="327" t="s">
        <v>57</v>
      </c>
      <c r="E242" s="1959">
        <v>20.61</v>
      </c>
      <c r="F242" s="353">
        <f t="shared" si="35"/>
        <v>2</v>
      </c>
      <c r="G242" s="352">
        <v>2</v>
      </c>
      <c r="H242" s="354">
        <f t="shared" si="36"/>
        <v>25.19</v>
      </c>
      <c r="I242" s="171">
        <f t="shared" si="37"/>
        <v>50.38</v>
      </c>
      <c r="J242" s="891">
        <f>'COMP ELE'!F101</f>
        <v>20.61</v>
      </c>
      <c r="K242" s="131"/>
    </row>
    <row r="243" spans="1:11" ht="18.75" customHeight="1">
      <c r="A243" s="209" t="s">
        <v>1282</v>
      </c>
      <c r="B243" s="1641" t="s">
        <v>484</v>
      </c>
      <c r="C243" s="322" t="s">
        <v>483</v>
      </c>
      <c r="D243" s="327" t="s">
        <v>57</v>
      </c>
      <c r="E243" s="1959">
        <v>20.88</v>
      </c>
      <c r="F243" s="353">
        <f t="shared" si="35"/>
        <v>3</v>
      </c>
      <c r="G243" s="352">
        <v>3</v>
      </c>
      <c r="H243" s="354">
        <f t="shared" si="36"/>
        <v>25.52</v>
      </c>
      <c r="I243" s="171">
        <f t="shared" si="37"/>
        <v>76.56</v>
      </c>
      <c r="J243" s="891">
        <f>'COMP ELE'!F118</f>
        <v>20.88</v>
      </c>
      <c r="K243" s="131"/>
    </row>
    <row r="244" spans="1:11" ht="34.5" customHeight="1">
      <c r="A244" s="209" t="s">
        <v>1283</v>
      </c>
      <c r="B244" s="1641">
        <v>91846</v>
      </c>
      <c r="C244" s="322" t="s">
        <v>378</v>
      </c>
      <c r="D244" s="325" t="s">
        <v>56</v>
      </c>
      <c r="E244" s="1959">
        <v>6.91</v>
      </c>
      <c r="F244" s="353">
        <f t="shared" si="35"/>
        <v>40.4</v>
      </c>
      <c r="G244" s="352">
        <v>40.4</v>
      </c>
      <c r="H244" s="354">
        <f t="shared" si="36"/>
        <v>8.44</v>
      </c>
      <c r="I244" s="171">
        <f t="shared" si="37"/>
        <v>340.97</v>
      </c>
      <c r="J244" s="323"/>
      <c r="K244" s="658"/>
    </row>
    <row r="245" spans="1:11" ht="33.75" customHeight="1">
      <c r="A245" s="209" t="s">
        <v>1284</v>
      </c>
      <c r="B245" s="315">
        <v>91844</v>
      </c>
      <c r="C245" s="322" t="s">
        <v>379</v>
      </c>
      <c r="D245" s="326" t="s">
        <v>56</v>
      </c>
      <c r="E245" s="1959">
        <v>4.93</v>
      </c>
      <c r="F245" s="353">
        <f t="shared" si="35"/>
        <v>66.099999999999994</v>
      </c>
      <c r="G245" s="352">
        <v>66.099999999999994</v>
      </c>
      <c r="H245" s="354">
        <f t="shared" si="36"/>
        <v>6.02</v>
      </c>
      <c r="I245" s="171">
        <f t="shared" si="37"/>
        <v>397.92</v>
      </c>
      <c r="J245" s="323"/>
      <c r="K245" s="658"/>
    </row>
    <row r="246" spans="1:11" ht="47.25" customHeight="1">
      <c r="A246" s="209" t="s">
        <v>1285</v>
      </c>
      <c r="B246" s="1629">
        <v>91863</v>
      </c>
      <c r="C246" s="1654" t="s">
        <v>1129</v>
      </c>
      <c r="D246" s="326" t="s">
        <v>56</v>
      </c>
      <c r="E246" s="1959">
        <v>8.6199999999999992</v>
      </c>
      <c r="F246" s="353">
        <f t="shared" si="35"/>
        <v>22.3</v>
      </c>
      <c r="G246" s="352">
        <v>22.3</v>
      </c>
      <c r="H246" s="354">
        <f t="shared" si="36"/>
        <v>10.53</v>
      </c>
      <c r="I246" s="171">
        <f t="shared" si="37"/>
        <v>234.81</v>
      </c>
      <c r="J246" s="323"/>
      <c r="K246" s="809"/>
    </row>
    <row r="247" spans="1:11" ht="44.25" customHeight="1">
      <c r="A247" s="209" t="s">
        <v>1286</v>
      </c>
      <c r="B247" s="1629">
        <v>91841</v>
      </c>
      <c r="C247" s="322" t="s">
        <v>1130</v>
      </c>
      <c r="D247" s="326" t="s">
        <v>56</v>
      </c>
      <c r="E247" s="1959">
        <v>9.76</v>
      </c>
      <c r="F247" s="353">
        <f t="shared" si="35"/>
        <v>15.5</v>
      </c>
      <c r="G247" s="352">
        <v>15.5</v>
      </c>
      <c r="H247" s="354">
        <f t="shared" si="36"/>
        <v>11.92</v>
      </c>
      <c r="I247" s="171">
        <f t="shared" si="37"/>
        <v>184.76</v>
      </c>
      <c r="J247" s="323"/>
      <c r="K247" s="658"/>
    </row>
    <row r="248" spans="1:11" ht="21" customHeight="1">
      <c r="A248" s="209" t="s">
        <v>2411</v>
      </c>
      <c r="B248" s="315" t="s">
        <v>496</v>
      </c>
      <c r="C248" s="322" t="s">
        <v>1188</v>
      </c>
      <c r="D248" s="182" t="s">
        <v>57</v>
      </c>
      <c r="E248" s="1953">
        <v>3.16</v>
      </c>
      <c r="F248" s="353">
        <f t="shared" si="35"/>
        <v>31</v>
      </c>
      <c r="G248" s="352">
        <v>31</v>
      </c>
      <c r="H248" s="354">
        <f t="shared" si="36"/>
        <v>3.86</v>
      </c>
      <c r="I248" s="171">
        <f t="shared" si="37"/>
        <v>119.66</v>
      </c>
      <c r="J248" s="573">
        <f>'COMP ELE'!F218</f>
        <v>3.16</v>
      </c>
      <c r="K248" s="658"/>
    </row>
    <row r="249" spans="1:11" ht="31.5" customHeight="1">
      <c r="A249" s="209" t="s">
        <v>2412</v>
      </c>
      <c r="B249" s="1641" t="s">
        <v>498</v>
      </c>
      <c r="C249" s="322" t="s">
        <v>2415</v>
      </c>
      <c r="D249" s="182" t="s">
        <v>57</v>
      </c>
      <c r="E249" s="1953">
        <v>3.78</v>
      </c>
      <c r="F249" s="353">
        <f t="shared" si="35"/>
        <v>31</v>
      </c>
      <c r="G249" s="352">
        <v>31</v>
      </c>
      <c r="H249" s="354">
        <f t="shared" si="36"/>
        <v>4.62</v>
      </c>
      <c r="I249" s="171">
        <f t="shared" si="37"/>
        <v>143.22</v>
      </c>
      <c r="J249" s="573">
        <f>'COMP ELE'!F228</f>
        <v>3.7800000000000002</v>
      </c>
      <c r="K249" s="658"/>
    </row>
    <row r="250" spans="1:11" ht="21.75" customHeight="1">
      <c r="A250" s="209" t="s">
        <v>2416</v>
      </c>
      <c r="B250" s="1641" t="s">
        <v>486</v>
      </c>
      <c r="C250" s="322" t="s">
        <v>1105</v>
      </c>
      <c r="D250" s="327" t="s">
        <v>57</v>
      </c>
      <c r="E250" s="1959">
        <v>605.16</v>
      </c>
      <c r="F250" s="353">
        <f t="shared" si="35"/>
        <v>1</v>
      </c>
      <c r="G250" s="352">
        <v>1</v>
      </c>
      <c r="H250" s="354">
        <f t="shared" si="36"/>
        <v>739.68</v>
      </c>
      <c r="I250" s="171">
        <f t="shared" si="37"/>
        <v>739.68</v>
      </c>
      <c r="J250" s="573">
        <f>'COMP ELE'!F135</f>
        <v>605.16</v>
      </c>
      <c r="K250" s="658" t="s">
        <v>711</v>
      </c>
    </row>
    <row r="251" spans="1:11" ht="15.75" thickBot="1">
      <c r="A251" s="172"/>
      <c r="B251" s="175"/>
      <c r="C251" s="175"/>
      <c r="D251" s="175"/>
      <c r="E251" s="1966"/>
      <c r="F251" s="130"/>
      <c r="G251" s="176"/>
      <c r="H251" s="177" t="s">
        <v>16</v>
      </c>
      <c r="I251" s="178">
        <f>TRUNC(SUM(I223:I250),2)</f>
        <v>20320.37</v>
      </c>
      <c r="K251" s="131"/>
    </row>
    <row r="252" spans="1:11">
      <c r="A252" s="622">
        <v>12</v>
      </c>
      <c r="B252" s="623"/>
      <c r="C252" s="624" t="s">
        <v>852</v>
      </c>
      <c r="D252" s="625"/>
      <c r="E252" s="1967"/>
      <c r="F252" s="625" t="str">
        <f>IF(OR(E252&lt;=0)," ",TRUNC(G252,2))</f>
        <v xml:space="preserve"> </v>
      </c>
      <c r="G252" s="627"/>
      <c r="H252" s="627" t="str">
        <f>IF(OR(E252&lt;=0)," ",TRUNC((E252*(1+$I$9)),2))</f>
        <v xml:space="preserve"> </v>
      </c>
      <c r="I252" s="628" t="str">
        <f>IF(OR(E252&lt;=0)," ",TRUNC((H252*F252),2))</f>
        <v xml:space="preserve"> </v>
      </c>
      <c r="J252" s="850"/>
      <c r="K252" s="131"/>
    </row>
    <row r="253" spans="1:11" ht="19.5" customHeight="1">
      <c r="A253" s="209" t="s">
        <v>83</v>
      </c>
      <c r="B253" s="247" t="s">
        <v>1119</v>
      </c>
      <c r="C253" s="322" t="s">
        <v>1149</v>
      </c>
      <c r="D253" s="800" t="s">
        <v>57</v>
      </c>
      <c r="E253" s="1959">
        <v>530.85</v>
      </c>
      <c r="F253" s="353">
        <f t="shared" ref="F253:F260" si="38">IF(OR(E253&lt;=0)," ",TRUNC(G253,2))</f>
        <v>1</v>
      </c>
      <c r="G253" s="352">
        <v>1</v>
      </c>
      <c r="H253" s="354">
        <f t="shared" ref="H253:H260" si="39">IF(OR(E253&lt;=0)," ",TRUNC((E253*(1+$I$9)),2))</f>
        <v>648.85</v>
      </c>
      <c r="I253" s="171">
        <f t="shared" ref="I253:I260" si="40">IF(OR(E253&lt;=0)," ",TRUNC((H253*F253),2))</f>
        <v>648.85</v>
      </c>
      <c r="J253" s="891">
        <f>'COMP ELE'!F280</f>
        <v>530.86</v>
      </c>
      <c r="K253" s="131"/>
    </row>
    <row r="254" spans="1:11" ht="28.5">
      <c r="A254" s="167" t="s">
        <v>84</v>
      </c>
      <c r="B254" s="813">
        <v>98111</v>
      </c>
      <c r="C254" s="153" t="s">
        <v>1143</v>
      </c>
      <c r="D254" s="800" t="s">
        <v>57</v>
      </c>
      <c r="E254" s="1959">
        <v>24.37</v>
      </c>
      <c r="F254" s="353">
        <f t="shared" si="38"/>
        <v>6</v>
      </c>
      <c r="G254" s="352">
        <v>6</v>
      </c>
      <c r="H254" s="354">
        <f t="shared" si="39"/>
        <v>29.78</v>
      </c>
      <c r="I254" s="171">
        <f t="shared" si="40"/>
        <v>178.68</v>
      </c>
      <c r="K254" s="131"/>
    </row>
    <row r="255" spans="1:11" ht="34.5" customHeight="1">
      <c r="A255" s="209" t="s">
        <v>85</v>
      </c>
      <c r="B255" s="813">
        <v>96986</v>
      </c>
      <c r="C255" s="153" t="s">
        <v>1144</v>
      </c>
      <c r="D255" s="800" t="s">
        <v>57</v>
      </c>
      <c r="E255" s="1959">
        <v>76.02</v>
      </c>
      <c r="F255" s="353">
        <f t="shared" si="38"/>
        <v>6</v>
      </c>
      <c r="G255" s="352">
        <v>6</v>
      </c>
      <c r="H255" s="354">
        <f t="shared" si="39"/>
        <v>92.91</v>
      </c>
      <c r="I255" s="171">
        <f t="shared" si="40"/>
        <v>557.46</v>
      </c>
      <c r="K255" s="683" t="s">
        <v>2443</v>
      </c>
    </row>
    <row r="256" spans="1:11" ht="28.5">
      <c r="A256" s="167" t="s">
        <v>86</v>
      </c>
      <c r="B256" s="247" t="s">
        <v>1120</v>
      </c>
      <c r="C256" s="252" t="s">
        <v>1670</v>
      </c>
      <c r="D256" s="800" t="s">
        <v>57</v>
      </c>
      <c r="E256" s="1959">
        <v>60.26</v>
      </c>
      <c r="F256" s="353">
        <f t="shared" si="38"/>
        <v>26</v>
      </c>
      <c r="G256" s="352">
        <v>26</v>
      </c>
      <c r="H256" s="354">
        <f t="shared" si="39"/>
        <v>73.650000000000006</v>
      </c>
      <c r="I256" s="171">
        <f t="shared" si="40"/>
        <v>1914.9</v>
      </c>
      <c r="J256" s="891">
        <f>'COMP ELE'!F297</f>
        <v>60.260000000000005</v>
      </c>
      <c r="K256" s="131"/>
    </row>
    <row r="257" spans="1:11" ht="28.5">
      <c r="A257" s="209" t="s">
        <v>87</v>
      </c>
      <c r="B257" s="247">
        <v>96972</v>
      </c>
      <c r="C257" s="153" t="s">
        <v>1145</v>
      </c>
      <c r="D257" s="247" t="s">
        <v>56</v>
      </c>
      <c r="E257" s="1959">
        <v>37.04</v>
      </c>
      <c r="F257" s="353">
        <f t="shared" si="38"/>
        <v>7.74</v>
      </c>
      <c r="G257" s="352">
        <v>7.74</v>
      </c>
      <c r="H257" s="354">
        <f t="shared" si="39"/>
        <v>45.27</v>
      </c>
      <c r="I257" s="171">
        <f t="shared" si="40"/>
        <v>350.38</v>
      </c>
      <c r="K257" s="131"/>
    </row>
    <row r="258" spans="1:11" ht="28.5">
      <c r="A258" s="167" t="s">
        <v>177</v>
      </c>
      <c r="B258" s="247">
        <v>96973</v>
      </c>
      <c r="C258" s="153" t="s">
        <v>1146</v>
      </c>
      <c r="D258" s="247" t="s">
        <v>56</v>
      </c>
      <c r="E258" s="1959">
        <v>46.85</v>
      </c>
      <c r="F258" s="353">
        <f t="shared" si="38"/>
        <v>135.54</v>
      </c>
      <c r="G258" s="352">
        <v>135.54</v>
      </c>
      <c r="H258" s="354">
        <f t="shared" si="39"/>
        <v>57.26</v>
      </c>
      <c r="I258" s="171">
        <f t="shared" si="40"/>
        <v>7761.02</v>
      </c>
      <c r="K258" s="131"/>
    </row>
    <row r="259" spans="1:11" ht="28.5">
      <c r="A259" s="209" t="s">
        <v>178</v>
      </c>
      <c r="B259" s="247">
        <v>96974</v>
      </c>
      <c r="C259" s="153" t="s">
        <v>1147</v>
      </c>
      <c r="D259" s="247" t="s">
        <v>56</v>
      </c>
      <c r="E259" s="1959">
        <v>59.92</v>
      </c>
      <c r="F259" s="353">
        <f t="shared" si="38"/>
        <v>103.7</v>
      </c>
      <c r="G259" s="352">
        <v>103.7</v>
      </c>
      <c r="H259" s="354">
        <f t="shared" si="39"/>
        <v>73.239999999999995</v>
      </c>
      <c r="I259" s="171">
        <f t="shared" si="40"/>
        <v>7594.98</v>
      </c>
      <c r="K259" s="131"/>
    </row>
    <row r="260" spans="1:11" ht="21" customHeight="1">
      <c r="A260" s="209" t="s">
        <v>209</v>
      </c>
      <c r="B260" s="247" t="s">
        <v>1319</v>
      </c>
      <c r="C260" s="763" t="s">
        <v>1156</v>
      </c>
      <c r="D260" s="800" t="s">
        <v>57</v>
      </c>
      <c r="E260" s="1968">
        <v>32.85</v>
      </c>
      <c r="F260" s="169">
        <f t="shared" si="38"/>
        <v>28</v>
      </c>
      <c r="G260" s="316">
        <v>28</v>
      </c>
      <c r="H260" s="170">
        <f t="shared" si="39"/>
        <v>40.15</v>
      </c>
      <c r="I260" s="171">
        <f t="shared" si="40"/>
        <v>1124.2</v>
      </c>
      <c r="J260" s="891">
        <f>'COMP ELE'!F314</f>
        <v>32.85</v>
      </c>
      <c r="K260" s="131"/>
    </row>
    <row r="261" spans="1:11" ht="15.75" thickBot="1">
      <c r="A261" s="719"/>
      <c r="B261" s="179"/>
      <c r="C261" s="179"/>
      <c r="D261" s="179"/>
      <c r="E261" s="1969"/>
      <c r="F261" s="180"/>
      <c r="G261" s="181"/>
      <c r="H261" s="211" t="s">
        <v>16</v>
      </c>
      <c r="I261" s="178">
        <f>TRUNC(SUM(I253:I260),2)</f>
        <v>20130.47</v>
      </c>
      <c r="K261" s="131"/>
    </row>
    <row r="262" spans="1:11">
      <c r="A262" s="622">
        <v>13</v>
      </c>
      <c r="B262" s="623"/>
      <c r="C262" s="624" t="s">
        <v>80</v>
      </c>
      <c r="D262" s="625"/>
      <c r="E262" s="1967"/>
      <c r="F262" s="625" t="str">
        <f>IF(OR(E262&lt;=0)," ",TRUNC(G262,2))</f>
        <v xml:space="preserve"> </v>
      </c>
      <c r="G262" s="627"/>
      <c r="H262" s="627" t="str">
        <f>IF(OR(E262&lt;=0)," ",TRUNC((E262*(1+$I$9)),2))</f>
        <v xml:space="preserve"> </v>
      </c>
      <c r="I262" s="628" t="str">
        <f>IF(OR(E262&lt;=0)," ",TRUNC((H262*F262),2))</f>
        <v xml:space="preserve"> </v>
      </c>
      <c r="J262" s="914" t="s">
        <v>923</v>
      </c>
      <c r="K262" s="131"/>
    </row>
    <row r="263" spans="1:11" ht="35.25" customHeight="1">
      <c r="A263" s="209" t="s">
        <v>88</v>
      </c>
      <c r="B263" s="315">
        <v>89408</v>
      </c>
      <c r="C263" s="322" t="s">
        <v>254</v>
      </c>
      <c r="D263" s="182" t="s">
        <v>57</v>
      </c>
      <c r="E263" s="1959">
        <v>5.04</v>
      </c>
      <c r="F263" s="353">
        <f t="shared" ref="F263:F291" si="41">IF(OR(E263&lt;=0)," ",TRUNC(G263,2))</f>
        <v>20</v>
      </c>
      <c r="G263" s="949">
        <v>20</v>
      </c>
      <c r="H263" s="950">
        <f t="shared" ref="H263:H291" si="42">IF(OR(E263&lt;=0)," ",TRUNC((E263*(1+$I$9)),2))</f>
        <v>6.16</v>
      </c>
      <c r="I263" s="171">
        <f t="shared" ref="I263:I291" si="43">IF(OR(E263&lt;=0)," ",TRUNC((H263*F263),2))</f>
        <v>123.2</v>
      </c>
      <c r="J263" s="850"/>
      <c r="K263" s="131"/>
    </row>
    <row r="264" spans="1:11" ht="33" customHeight="1">
      <c r="A264" s="1833" t="s">
        <v>89</v>
      </c>
      <c r="B264" s="315" t="s">
        <v>414</v>
      </c>
      <c r="C264" s="797" t="s">
        <v>255</v>
      </c>
      <c r="D264" s="182" t="s">
        <v>57</v>
      </c>
      <c r="E264" s="1959">
        <v>12.37</v>
      </c>
      <c r="F264" s="353">
        <f t="shared" si="41"/>
        <v>5</v>
      </c>
      <c r="G264" s="951">
        <v>5</v>
      </c>
      <c r="H264" s="950">
        <f t="shared" si="42"/>
        <v>15.11</v>
      </c>
      <c r="I264" s="171">
        <f t="shared" si="43"/>
        <v>75.55</v>
      </c>
      <c r="J264" s="548">
        <f>'COMP HIDR'!F27</f>
        <v>12.370000000000001</v>
      </c>
      <c r="K264" s="131"/>
    </row>
    <row r="265" spans="1:11" ht="34.5" customHeight="1">
      <c r="A265" s="209" t="s">
        <v>90</v>
      </c>
      <c r="B265" s="315" t="s">
        <v>423</v>
      </c>
      <c r="C265" s="797" t="s">
        <v>1382</v>
      </c>
      <c r="D265" s="182" t="s">
        <v>57</v>
      </c>
      <c r="E265" s="1959">
        <v>10.71</v>
      </c>
      <c r="F265" s="1831">
        <f t="shared" si="41"/>
        <v>4</v>
      </c>
      <c r="G265" s="949">
        <v>4</v>
      </c>
      <c r="H265" s="950">
        <f t="shared" si="42"/>
        <v>13.09</v>
      </c>
      <c r="I265" s="1697">
        <f t="shared" si="43"/>
        <v>52.36</v>
      </c>
      <c r="J265" s="913">
        <f>'COMP HIDR'!F41</f>
        <v>10.709999999999999</v>
      </c>
      <c r="K265" s="131"/>
    </row>
    <row r="266" spans="1:11" ht="21.75" customHeight="1">
      <c r="A266" s="1833" t="s">
        <v>179</v>
      </c>
      <c r="B266" s="315" t="s">
        <v>425</v>
      </c>
      <c r="C266" s="322" t="s">
        <v>1363</v>
      </c>
      <c r="D266" s="182" t="s">
        <v>57</v>
      </c>
      <c r="E266" s="1959">
        <v>97.19</v>
      </c>
      <c r="F266" s="1831">
        <f t="shared" si="41"/>
        <v>9</v>
      </c>
      <c r="G266" s="949">
        <v>9</v>
      </c>
      <c r="H266" s="950">
        <f t="shared" si="42"/>
        <v>118.79</v>
      </c>
      <c r="I266" s="1697">
        <f t="shared" si="43"/>
        <v>1069.1099999999999</v>
      </c>
      <c r="J266" s="913">
        <f>'COMP HIDR'!F55</f>
        <v>97.189999999999984</v>
      </c>
      <c r="K266" s="131"/>
    </row>
    <row r="267" spans="1:11" ht="33" customHeight="1">
      <c r="A267" s="209" t="s">
        <v>562</v>
      </c>
      <c r="B267" s="315" t="s">
        <v>426</v>
      </c>
      <c r="C267" s="322" t="s">
        <v>1378</v>
      </c>
      <c r="D267" s="182" t="s">
        <v>57</v>
      </c>
      <c r="E267" s="1959">
        <v>42.61</v>
      </c>
      <c r="F267" s="353">
        <f t="shared" si="41"/>
        <v>1</v>
      </c>
      <c r="G267" s="949">
        <v>1</v>
      </c>
      <c r="H267" s="950">
        <f t="shared" si="42"/>
        <v>52.08</v>
      </c>
      <c r="I267" s="171">
        <f t="shared" si="43"/>
        <v>52.08</v>
      </c>
      <c r="J267" s="913">
        <f>'COMP HIDR'!F68</f>
        <v>42.61</v>
      </c>
      <c r="K267" s="131"/>
    </row>
    <row r="268" spans="1:11" ht="34.5" customHeight="1">
      <c r="A268" s="1833" t="s">
        <v>563</v>
      </c>
      <c r="B268" s="315">
        <v>89378</v>
      </c>
      <c r="C268" s="153" t="s">
        <v>1361</v>
      </c>
      <c r="D268" s="182" t="s">
        <v>57</v>
      </c>
      <c r="E268" s="1959">
        <v>5.48</v>
      </c>
      <c r="F268" s="353">
        <f t="shared" si="41"/>
        <v>5</v>
      </c>
      <c r="G268" s="951">
        <v>5</v>
      </c>
      <c r="H268" s="950">
        <f t="shared" si="42"/>
        <v>6.69</v>
      </c>
      <c r="I268" s="171">
        <f t="shared" si="43"/>
        <v>33.450000000000003</v>
      </c>
      <c r="J268" s="790"/>
      <c r="K268" s="131"/>
    </row>
    <row r="269" spans="1:11" ht="34.5" customHeight="1">
      <c r="A269" s="209" t="s">
        <v>564</v>
      </c>
      <c r="B269" s="315">
        <v>89575</v>
      </c>
      <c r="C269" s="153" t="s">
        <v>1362</v>
      </c>
      <c r="D269" s="182" t="s">
        <v>57</v>
      </c>
      <c r="E269" s="1959">
        <v>10.11</v>
      </c>
      <c r="F269" s="353">
        <f t="shared" si="41"/>
        <v>2</v>
      </c>
      <c r="G269" s="949">
        <v>2</v>
      </c>
      <c r="H269" s="950">
        <f t="shared" si="42"/>
        <v>12.35</v>
      </c>
      <c r="I269" s="171">
        <f t="shared" si="43"/>
        <v>24.7</v>
      </c>
      <c r="J269" s="894"/>
      <c r="K269" s="131"/>
    </row>
    <row r="270" spans="1:11" ht="32.25" customHeight="1">
      <c r="A270" s="1833" t="s">
        <v>565</v>
      </c>
      <c r="B270" s="315">
        <v>89356</v>
      </c>
      <c r="C270" s="322" t="s">
        <v>256</v>
      </c>
      <c r="D270" s="289" t="s">
        <v>56</v>
      </c>
      <c r="E270" s="1959">
        <v>17.059999999999999</v>
      </c>
      <c r="F270" s="353">
        <f t="shared" si="41"/>
        <v>55.66</v>
      </c>
      <c r="G270" s="952">
        <v>55.66</v>
      </c>
      <c r="H270" s="950">
        <f t="shared" si="42"/>
        <v>20.85</v>
      </c>
      <c r="I270" s="171">
        <f t="shared" si="43"/>
        <v>1160.51</v>
      </c>
      <c r="J270" s="894"/>
      <c r="K270" s="131"/>
    </row>
    <row r="271" spans="1:11" ht="18" customHeight="1">
      <c r="A271" s="209" t="s">
        <v>566</v>
      </c>
      <c r="B271" s="315" t="s">
        <v>428</v>
      </c>
      <c r="C271" s="322" t="s">
        <v>257</v>
      </c>
      <c r="D271" s="289" t="s">
        <v>56</v>
      </c>
      <c r="E271" s="1959">
        <v>15.59</v>
      </c>
      <c r="F271" s="353">
        <f t="shared" si="41"/>
        <v>14.87</v>
      </c>
      <c r="G271" s="949">
        <v>14.87</v>
      </c>
      <c r="H271" s="950">
        <f t="shared" si="42"/>
        <v>19.05</v>
      </c>
      <c r="I271" s="171">
        <f t="shared" si="43"/>
        <v>283.27</v>
      </c>
      <c r="J271" s="913">
        <f>'COMP HIDR'!F80</f>
        <v>15.59</v>
      </c>
      <c r="K271" s="131"/>
    </row>
    <row r="272" spans="1:11" ht="33.75" customHeight="1">
      <c r="A272" s="1833" t="s">
        <v>567</v>
      </c>
      <c r="B272" s="315">
        <v>99635</v>
      </c>
      <c r="C272" s="322" t="s">
        <v>158</v>
      </c>
      <c r="D272" s="182" t="s">
        <v>57</v>
      </c>
      <c r="E272" s="1959">
        <v>177.91</v>
      </c>
      <c r="F272" s="1831">
        <f t="shared" si="41"/>
        <v>2</v>
      </c>
      <c r="G272" s="949">
        <v>2</v>
      </c>
      <c r="H272" s="950">
        <f t="shared" si="42"/>
        <v>217.45</v>
      </c>
      <c r="I272" s="1697">
        <f t="shared" si="43"/>
        <v>434.9</v>
      </c>
      <c r="J272" s="894"/>
      <c r="K272" s="131"/>
    </row>
    <row r="273" spans="1:11" ht="45.75" customHeight="1" thickBot="1">
      <c r="A273" s="172" t="s">
        <v>568</v>
      </c>
      <c r="B273" s="1888">
        <v>89987</v>
      </c>
      <c r="C273" s="736" t="s">
        <v>258</v>
      </c>
      <c r="D273" s="1863" t="s">
        <v>57</v>
      </c>
      <c r="E273" s="1964">
        <v>51.63</v>
      </c>
      <c r="F273" s="965">
        <f t="shared" si="41"/>
        <v>3</v>
      </c>
      <c r="G273" s="1891">
        <v>3</v>
      </c>
      <c r="H273" s="1890">
        <f t="shared" si="42"/>
        <v>63.1</v>
      </c>
      <c r="I273" s="1821">
        <f t="shared" si="43"/>
        <v>189.3</v>
      </c>
      <c r="J273" s="894"/>
      <c r="K273" s="131"/>
    </row>
    <row r="274" spans="1:11" ht="35.25" customHeight="1">
      <c r="A274" s="1881" t="s">
        <v>569</v>
      </c>
      <c r="B274" s="1882">
        <v>90371</v>
      </c>
      <c r="C274" s="1867" t="s">
        <v>259</v>
      </c>
      <c r="D274" s="1868" t="s">
        <v>57</v>
      </c>
      <c r="E274" s="1970">
        <v>21.09</v>
      </c>
      <c r="F274" s="1886">
        <f t="shared" si="41"/>
        <v>1</v>
      </c>
      <c r="G274" s="1884">
        <v>1</v>
      </c>
      <c r="H274" s="1885">
        <f t="shared" si="42"/>
        <v>25.77</v>
      </c>
      <c r="I274" s="1887">
        <f t="shared" si="43"/>
        <v>25.77</v>
      </c>
      <c r="J274" s="894"/>
      <c r="K274" s="131"/>
    </row>
    <row r="275" spans="1:11" ht="55.5" customHeight="1">
      <c r="A275" s="209" t="s">
        <v>570</v>
      </c>
      <c r="B275" s="315">
        <v>94794</v>
      </c>
      <c r="C275" s="153" t="s">
        <v>1391</v>
      </c>
      <c r="D275" s="182" t="s">
        <v>57</v>
      </c>
      <c r="E275" s="1959">
        <v>102.65</v>
      </c>
      <c r="F275" s="353">
        <f t="shared" si="41"/>
        <v>2</v>
      </c>
      <c r="G275" s="949">
        <v>2</v>
      </c>
      <c r="H275" s="950">
        <f t="shared" si="42"/>
        <v>125.46</v>
      </c>
      <c r="I275" s="171">
        <f t="shared" si="43"/>
        <v>250.92</v>
      </c>
      <c r="J275" s="894"/>
      <c r="K275" s="131"/>
    </row>
    <row r="276" spans="1:11" ht="48" customHeight="1">
      <c r="A276" s="1833" t="s">
        <v>571</v>
      </c>
      <c r="B276" s="315">
        <v>94497</v>
      </c>
      <c r="C276" s="153" t="s">
        <v>1390</v>
      </c>
      <c r="D276" s="182" t="s">
        <v>57</v>
      </c>
      <c r="E276" s="1961">
        <v>74.66</v>
      </c>
      <c r="F276" s="353">
        <f t="shared" si="41"/>
        <v>2</v>
      </c>
      <c r="G276" s="949">
        <v>2</v>
      </c>
      <c r="H276" s="950">
        <f t="shared" si="42"/>
        <v>91.25</v>
      </c>
      <c r="I276" s="171">
        <f t="shared" si="43"/>
        <v>182.5</v>
      </c>
      <c r="J276" s="894"/>
      <c r="K276" s="131"/>
    </row>
    <row r="277" spans="1:11" ht="47.25" customHeight="1">
      <c r="A277" s="209" t="s">
        <v>572</v>
      </c>
      <c r="B277" s="315">
        <v>89385</v>
      </c>
      <c r="C277" s="322" t="s">
        <v>260</v>
      </c>
      <c r="D277" s="182" t="s">
        <v>57</v>
      </c>
      <c r="E277" s="1961">
        <v>6.32</v>
      </c>
      <c r="F277" s="353">
        <f t="shared" si="41"/>
        <v>2</v>
      </c>
      <c r="G277" s="949">
        <v>2</v>
      </c>
      <c r="H277" s="950">
        <f t="shared" si="42"/>
        <v>7.72</v>
      </c>
      <c r="I277" s="171">
        <f t="shared" si="43"/>
        <v>15.44</v>
      </c>
      <c r="J277" s="547"/>
      <c r="K277" s="131"/>
    </row>
    <row r="278" spans="1:11" ht="48" customHeight="1">
      <c r="A278" s="1833" t="s">
        <v>573</v>
      </c>
      <c r="B278" s="315">
        <v>94703</v>
      </c>
      <c r="C278" s="322" t="s">
        <v>599</v>
      </c>
      <c r="D278" s="182" t="s">
        <v>57</v>
      </c>
      <c r="E278" s="1961">
        <v>17.739999999999998</v>
      </c>
      <c r="F278" s="353">
        <f t="shared" si="41"/>
        <v>1</v>
      </c>
      <c r="G278" s="949">
        <v>1</v>
      </c>
      <c r="H278" s="950">
        <f t="shared" si="42"/>
        <v>21.68</v>
      </c>
      <c r="I278" s="171">
        <f t="shared" si="43"/>
        <v>21.68</v>
      </c>
      <c r="J278" s="547"/>
      <c r="K278" s="131"/>
    </row>
    <row r="279" spans="1:11" ht="57.75" customHeight="1">
      <c r="A279" s="209" t="s">
        <v>574</v>
      </c>
      <c r="B279" s="315">
        <v>94706</v>
      </c>
      <c r="C279" s="322" t="s">
        <v>261</v>
      </c>
      <c r="D279" s="182" t="s">
        <v>57</v>
      </c>
      <c r="E279" s="1961">
        <v>38.380000000000003</v>
      </c>
      <c r="F279" s="353">
        <f t="shared" si="41"/>
        <v>3</v>
      </c>
      <c r="G279" s="949">
        <v>3</v>
      </c>
      <c r="H279" s="950">
        <f t="shared" si="42"/>
        <v>46.91</v>
      </c>
      <c r="I279" s="171">
        <f t="shared" si="43"/>
        <v>140.72999999999999</v>
      </c>
      <c r="J279" s="547"/>
      <c r="K279" s="131"/>
    </row>
    <row r="280" spans="1:11" ht="48" customHeight="1">
      <c r="A280" s="1833" t="s">
        <v>575</v>
      </c>
      <c r="B280" s="315">
        <v>89383</v>
      </c>
      <c r="C280" s="322" t="s">
        <v>262</v>
      </c>
      <c r="D280" s="182" t="s">
        <v>57</v>
      </c>
      <c r="E280" s="1961">
        <v>5.58</v>
      </c>
      <c r="F280" s="353">
        <f t="shared" si="41"/>
        <v>3</v>
      </c>
      <c r="G280" s="949">
        <v>3</v>
      </c>
      <c r="H280" s="950">
        <f t="shared" si="42"/>
        <v>6.82</v>
      </c>
      <c r="I280" s="171">
        <f t="shared" si="43"/>
        <v>20.46</v>
      </c>
      <c r="J280" s="547"/>
      <c r="K280" s="131"/>
    </row>
    <row r="281" spans="1:11" ht="31.5" customHeight="1">
      <c r="A281" s="209" t="s">
        <v>576</v>
      </c>
      <c r="B281" s="315" t="s">
        <v>429</v>
      </c>
      <c r="C281" s="330" t="s">
        <v>263</v>
      </c>
      <c r="D281" s="182" t="s">
        <v>57</v>
      </c>
      <c r="E281" s="1961">
        <v>9.93</v>
      </c>
      <c r="F281" s="353">
        <f t="shared" si="41"/>
        <v>10</v>
      </c>
      <c r="G281" s="949">
        <v>10</v>
      </c>
      <c r="H281" s="950">
        <f t="shared" si="42"/>
        <v>12.13</v>
      </c>
      <c r="I281" s="171">
        <f t="shared" si="43"/>
        <v>121.3</v>
      </c>
      <c r="J281" s="913">
        <f>'COMP HIDR'!F94</f>
        <v>9.93</v>
      </c>
      <c r="K281" s="131"/>
    </row>
    <row r="282" spans="1:11" ht="36.75" customHeight="1">
      <c r="A282" s="1833" t="s">
        <v>577</v>
      </c>
      <c r="B282" s="315" t="s">
        <v>431</v>
      </c>
      <c r="C282" s="330" t="s">
        <v>264</v>
      </c>
      <c r="D282" s="182" t="s">
        <v>57</v>
      </c>
      <c r="E282" s="1961">
        <v>8.92</v>
      </c>
      <c r="F282" s="353">
        <f t="shared" si="41"/>
        <v>3</v>
      </c>
      <c r="G282" s="949">
        <v>3</v>
      </c>
      <c r="H282" s="950">
        <f t="shared" si="42"/>
        <v>10.9</v>
      </c>
      <c r="I282" s="171">
        <f t="shared" si="43"/>
        <v>32.700000000000003</v>
      </c>
      <c r="J282" s="913">
        <f>'COMP HIDR'!F107</f>
        <v>8.92</v>
      </c>
      <c r="K282" s="131"/>
    </row>
    <row r="283" spans="1:11" ht="36.75" customHeight="1">
      <c r="A283" s="209" t="s">
        <v>578</v>
      </c>
      <c r="B283" s="315">
        <v>89395</v>
      </c>
      <c r="C283" s="322" t="s">
        <v>265</v>
      </c>
      <c r="D283" s="182" t="s">
        <v>57</v>
      </c>
      <c r="E283" s="1961">
        <v>10.11</v>
      </c>
      <c r="F283" s="353">
        <f t="shared" si="41"/>
        <v>8</v>
      </c>
      <c r="G283" s="949">
        <v>8</v>
      </c>
      <c r="H283" s="950">
        <f t="shared" si="42"/>
        <v>12.35</v>
      </c>
      <c r="I283" s="171">
        <f t="shared" si="43"/>
        <v>98.8</v>
      </c>
      <c r="J283" s="547"/>
      <c r="K283" s="131"/>
    </row>
    <row r="284" spans="1:11" ht="31.5" customHeight="1">
      <c r="A284" s="1833" t="s">
        <v>579</v>
      </c>
      <c r="B284" s="315" t="s">
        <v>1392</v>
      </c>
      <c r="C284" s="322" t="s">
        <v>267</v>
      </c>
      <c r="D284" s="182" t="s">
        <v>57</v>
      </c>
      <c r="E284" s="1961">
        <v>26.62</v>
      </c>
      <c r="F284" s="353">
        <f t="shared" si="41"/>
        <v>2</v>
      </c>
      <c r="G284" s="949">
        <v>2</v>
      </c>
      <c r="H284" s="950">
        <f t="shared" si="42"/>
        <v>32.53</v>
      </c>
      <c r="I284" s="171">
        <f t="shared" si="43"/>
        <v>65.06</v>
      </c>
      <c r="J284" s="913">
        <f>'COMP HIDR'!F121</f>
        <v>26.619999999999997</v>
      </c>
      <c r="K284" s="131"/>
    </row>
    <row r="285" spans="1:11" ht="25.5" customHeight="1">
      <c r="A285" s="209" t="s">
        <v>580</v>
      </c>
      <c r="B285" s="315" t="s">
        <v>434</v>
      </c>
      <c r="C285" s="322" t="s">
        <v>266</v>
      </c>
      <c r="D285" s="182" t="s">
        <v>57</v>
      </c>
      <c r="E285" s="1961">
        <v>27.77</v>
      </c>
      <c r="F285" s="353">
        <f t="shared" si="41"/>
        <v>5</v>
      </c>
      <c r="G285" s="949">
        <v>5</v>
      </c>
      <c r="H285" s="950">
        <f t="shared" si="42"/>
        <v>33.94</v>
      </c>
      <c r="I285" s="171">
        <f t="shared" si="43"/>
        <v>169.7</v>
      </c>
      <c r="J285" s="913">
        <f>'COMP HIDR'!F135</f>
        <v>27.770000000000003</v>
      </c>
      <c r="K285" s="910"/>
    </row>
    <row r="286" spans="1:11" ht="45" customHeight="1">
      <c r="A286" s="1833" t="s">
        <v>1384</v>
      </c>
      <c r="B286" s="315">
        <v>89366</v>
      </c>
      <c r="C286" s="322" t="s">
        <v>268</v>
      </c>
      <c r="D286" s="182" t="s">
        <v>57</v>
      </c>
      <c r="E286" s="1961">
        <v>13.62</v>
      </c>
      <c r="F286" s="353">
        <f t="shared" si="41"/>
        <v>1</v>
      </c>
      <c r="G286" s="949">
        <v>1</v>
      </c>
      <c r="H286" s="950">
        <f t="shared" si="42"/>
        <v>16.64</v>
      </c>
      <c r="I286" s="171">
        <f t="shared" si="43"/>
        <v>16.64</v>
      </c>
      <c r="J286" s="894"/>
      <c r="K286" s="131"/>
    </row>
    <row r="287" spans="1:11" ht="31.5" customHeight="1">
      <c r="A287" s="209" t="s">
        <v>1385</v>
      </c>
      <c r="B287" s="315">
        <v>86884</v>
      </c>
      <c r="C287" s="322" t="s">
        <v>272</v>
      </c>
      <c r="D287" s="182" t="s">
        <v>57</v>
      </c>
      <c r="E287" s="1961">
        <v>7.88</v>
      </c>
      <c r="F287" s="353">
        <f t="shared" si="41"/>
        <v>6</v>
      </c>
      <c r="G287" s="949">
        <v>6</v>
      </c>
      <c r="H287" s="950">
        <f t="shared" si="42"/>
        <v>9.6300000000000008</v>
      </c>
      <c r="I287" s="171">
        <f t="shared" si="43"/>
        <v>57.78</v>
      </c>
      <c r="J287" s="894"/>
      <c r="K287" s="131"/>
    </row>
    <row r="288" spans="1:11" ht="33" customHeight="1">
      <c r="A288" s="1833" t="s">
        <v>1386</v>
      </c>
      <c r="B288" s="315" t="s">
        <v>437</v>
      </c>
      <c r="C288" s="322" t="s">
        <v>1375</v>
      </c>
      <c r="D288" s="182" t="s">
        <v>57</v>
      </c>
      <c r="E288" s="1961">
        <v>936.99</v>
      </c>
      <c r="F288" s="353">
        <f t="shared" si="41"/>
        <v>4</v>
      </c>
      <c r="G288" s="949">
        <v>4</v>
      </c>
      <c r="H288" s="950">
        <f t="shared" si="42"/>
        <v>1145.28</v>
      </c>
      <c r="I288" s="171">
        <f t="shared" si="43"/>
        <v>4581.12</v>
      </c>
      <c r="J288" s="913">
        <f>'COMP HIDR'!F148</f>
        <v>936.99</v>
      </c>
      <c r="K288" s="131"/>
    </row>
    <row r="289" spans="1:11" ht="24" customHeight="1" thickBot="1">
      <c r="A289" s="172" t="s">
        <v>1387</v>
      </c>
      <c r="B289" s="1888" t="s">
        <v>1393</v>
      </c>
      <c r="C289" s="736" t="s">
        <v>1397</v>
      </c>
      <c r="D289" s="1863" t="s">
        <v>57</v>
      </c>
      <c r="E289" s="1964">
        <v>21.55</v>
      </c>
      <c r="F289" s="965">
        <f t="shared" si="41"/>
        <v>2</v>
      </c>
      <c r="G289" s="1889">
        <v>2</v>
      </c>
      <c r="H289" s="1890">
        <f t="shared" si="42"/>
        <v>26.34</v>
      </c>
      <c r="I289" s="1821">
        <f t="shared" si="43"/>
        <v>52.68</v>
      </c>
      <c r="J289" s="913">
        <f>'COMP HIDR'!F159</f>
        <v>21.55</v>
      </c>
      <c r="K289" s="131"/>
    </row>
    <row r="290" spans="1:11" ht="45.75" customHeight="1">
      <c r="A290" s="1881" t="s">
        <v>1388</v>
      </c>
      <c r="B290" s="1882">
        <v>86931</v>
      </c>
      <c r="C290" s="1883" t="s">
        <v>1402</v>
      </c>
      <c r="D290" s="1868" t="s">
        <v>57</v>
      </c>
      <c r="E290" s="1971">
        <v>494</v>
      </c>
      <c r="F290" s="1826">
        <f t="shared" si="41"/>
        <v>4</v>
      </c>
      <c r="G290" s="1884">
        <v>4</v>
      </c>
      <c r="H290" s="1885">
        <f t="shared" si="42"/>
        <v>603.80999999999995</v>
      </c>
      <c r="I290" s="1829">
        <f t="shared" si="43"/>
        <v>2415.2399999999998</v>
      </c>
      <c r="J290" s="894"/>
      <c r="K290" s="131"/>
    </row>
    <row r="291" spans="1:11" ht="48.75" customHeight="1">
      <c r="A291" s="209" t="s">
        <v>1389</v>
      </c>
      <c r="B291" s="916">
        <v>95472</v>
      </c>
      <c r="C291" s="153" t="s">
        <v>1401</v>
      </c>
      <c r="D291" s="182" t="s">
        <v>57</v>
      </c>
      <c r="E291" s="1961">
        <v>869.66</v>
      </c>
      <c r="F291" s="353">
        <f t="shared" si="41"/>
        <v>2</v>
      </c>
      <c r="G291" s="949">
        <v>2</v>
      </c>
      <c r="H291" s="950">
        <f t="shared" si="42"/>
        <v>1062.98</v>
      </c>
      <c r="I291" s="171">
        <f t="shared" si="43"/>
        <v>2125.96</v>
      </c>
      <c r="J291" s="547"/>
      <c r="K291" s="131"/>
    </row>
    <row r="292" spans="1:11" ht="15.75" thickBot="1">
      <c r="A292" s="172"/>
      <c r="B292" s="175"/>
      <c r="C292" s="342"/>
      <c r="D292" s="175"/>
      <c r="E292" s="1966"/>
      <c r="F292" s="130"/>
      <c r="G292" s="343"/>
      <c r="H292" s="177" t="s">
        <v>16</v>
      </c>
      <c r="I292" s="178">
        <f>TRUNC(SUM(I263:I291),2)</f>
        <v>13892.91</v>
      </c>
      <c r="J292" s="547"/>
      <c r="K292" s="131"/>
    </row>
    <row r="293" spans="1:11">
      <c r="A293" s="622">
        <v>14</v>
      </c>
      <c r="B293" s="623"/>
      <c r="C293" s="624" t="s">
        <v>1365</v>
      </c>
      <c r="D293" s="625"/>
      <c r="E293" s="1967"/>
      <c r="F293" s="625" t="str">
        <f>IF(OR(E293&lt;=0)," ",TRUNC(G293,2))</f>
        <v xml:space="preserve"> </v>
      </c>
      <c r="G293" s="627"/>
      <c r="H293" s="627" t="str">
        <f>IF(OR(E293&lt;=0)," ",TRUNC((E293*(1+$I$9)),2))</f>
        <v xml:space="preserve"> </v>
      </c>
      <c r="I293" s="628" t="str">
        <f>IF(OR(E293&lt;=0)," ",TRUNC((H293*F293),2))</f>
        <v xml:space="preserve"> </v>
      </c>
      <c r="J293" s="482" t="s">
        <v>919</v>
      </c>
      <c r="K293" s="131"/>
    </row>
    <row r="294" spans="1:11" ht="17.25" customHeight="1">
      <c r="A294" s="209" t="s">
        <v>91</v>
      </c>
      <c r="B294" s="315" t="s">
        <v>1400</v>
      </c>
      <c r="C294" s="252" t="s">
        <v>1394</v>
      </c>
      <c r="D294" s="166" t="s">
        <v>57</v>
      </c>
      <c r="E294" s="1968">
        <v>113.08</v>
      </c>
      <c r="F294" s="169">
        <f t="shared" ref="F294:F308" si="44">IF(OR(E294&lt;=0)," ",TRUNC(G294,2))</f>
        <v>2</v>
      </c>
      <c r="G294" s="316">
        <v>2</v>
      </c>
      <c r="H294" s="332">
        <f t="shared" ref="H294:H308" si="45">IF(OR(E294&lt;=0)," ",TRUNC((E294*(1+$I$9)),2))</f>
        <v>138.21</v>
      </c>
      <c r="I294" s="171">
        <f t="shared" ref="I294:I308" si="46">IF(OR(E294&lt;=0)," ",TRUNC((H294*F294),2))</f>
        <v>276.42</v>
      </c>
      <c r="J294" s="913">
        <f>'COMP HIDR'!F171</f>
        <v>113.08</v>
      </c>
      <c r="K294" s="131"/>
    </row>
    <row r="295" spans="1:11" ht="57">
      <c r="A295" s="209" t="s">
        <v>634</v>
      </c>
      <c r="B295" s="247">
        <v>86943</v>
      </c>
      <c r="C295" s="912" t="s">
        <v>1403</v>
      </c>
      <c r="D295" s="166" t="s">
        <v>57</v>
      </c>
      <c r="E295" s="1968">
        <v>216.08</v>
      </c>
      <c r="F295" s="169">
        <f t="shared" si="44"/>
        <v>4</v>
      </c>
      <c r="G295" s="316">
        <v>4</v>
      </c>
      <c r="H295" s="332">
        <f t="shared" si="45"/>
        <v>264.11</v>
      </c>
      <c r="I295" s="171">
        <f t="shared" si="46"/>
        <v>1056.44</v>
      </c>
      <c r="J295" s="547"/>
      <c r="K295" s="131"/>
    </row>
    <row r="296" spans="1:11" ht="28.5">
      <c r="A296" s="209" t="s">
        <v>635</v>
      </c>
      <c r="B296" s="247">
        <v>86903</v>
      </c>
      <c r="C296" s="153" t="s">
        <v>1404</v>
      </c>
      <c r="D296" s="166" t="s">
        <v>57</v>
      </c>
      <c r="E296" s="1968">
        <v>339.23</v>
      </c>
      <c r="F296" s="169">
        <f t="shared" si="44"/>
        <v>2</v>
      </c>
      <c r="G296" s="316">
        <v>2</v>
      </c>
      <c r="H296" s="332">
        <f t="shared" si="45"/>
        <v>414.64</v>
      </c>
      <c r="I296" s="171">
        <f t="shared" si="46"/>
        <v>829.28</v>
      </c>
      <c r="J296" s="547"/>
      <c r="K296" s="131"/>
    </row>
    <row r="297" spans="1:11" ht="28.5">
      <c r="A297" s="209" t="s">
        <v>636</v>
      </c>
      <c r="B297" s="247">
        <v>86901</v>
      </c>
      <c r="C297" s="912" t="s">
        <v>1559</v>
      </c>
      <c r="D297" s="166" t="s">
        <v>57</v>
      </c>
      <c r="E297" s="1968">
        <v>143.01</v>
      </c>
      <c r="F297" s="169">
        <f t="shared" si="44"/>
        <v>4</v>
      </c>
      <c r="G297" s="316">
        <v>4</v>
      </c>
      <c r="H297" s="332">
        <f t="shared" si="45"/>
        <v>174.8</v>
      </c>
      <c r="I297" s="171">
        <f t="shared" si="46"/>
        <v>699.2</v>
      </c>
      <c r="J297" s="547"/>
      <c r="K297" s="131"/>
    </row>
    <row r="298" spans="1:11" ht="28.5">
      <c r="A298" s="209" t="s">
        <v>637</v>
      </c>
      <c r="B298" s="247">
        <v>86900</v>
      </c>
      <c r="C298" s="153" t="s">
        <v>1560</v>
      </c>
      <c r="D298" s="166" t="s">
        <v>57</v>
      </c>
      <c r="E298" s="1968">
        <v>203.27</v>
      </c>
      <c r="F298" s="169">
        <f t="shared" si="44"/>
        <v>1</v>
      </c>
      <c r="G298" s="316">
        <v>1</v>
      </c>
      <c r="H298" s="332">
        <f t="shared" si="45"/>
        <v>248.45</v>
      </c>
      <c r="I298" s="171">
        <f t="shared" si="46"/>
        <v>248.45</v>
      </c>
      <c r="J298" s="547"/>
      <c r="K298" s="131"/>
    </row>
    <row r="299" spans="1:11" ht="28.5">
      <c r="A299" s="209" t="s">
        <v>638</v>
      </c>
      <c r="B299" s="315">
        <v>86911</v>
      </c>
      <c r="C299" s="322" t="s">
        <v>269</v>
      </c>
      <c r="D299" s="166" t="s">
        <v>57</v>
      </c>
      <c r="E299" s="1968">
        <v>46.04</v>
      </c>
      <c r="F299" s="169">
        <f t="shared" si="44"/>
        <v>1</v>
      </c>
      <c r="G299" s="316">
        <v>1</v>
      </c>
      <c r="H299" s="332">
        <f t="shared" si="45"/>
        <v>56.27</v>
      </c>
      <c r="I299" s="171">
        <f t="shared" si="46"/>
        <v>56.27</v>
      </c>
      <c r="J299" s="547"/>
      <c r="K299" s="131"/>
    </row>
    <row r="300" spans="1:11" ht="28.5">
      <c r="A300" s="209" t="s">
        <v>639</v>
      </c>
      <c r="B300" s="315">
        <v>86915</v>
      </c>
      <c r="C300" s="322" t="s">
        <v>270</v>
      </c>
      <c r="D300" s="166" t="s">
        <v>57</v>
      </c>
      <c r="E300" s="1968">
        <v>91.94</v>
      </c>
      <c r="F300" s="169">
        <f t="shared" si="44"/>
        <v>1</v>
      </c>
      <c r="G300" s="316">
        <v>1</v>
      </c>
      <c r="H300" s="332">
        <f t="shared" si="45"/>
        <v>112.37</v>
      </c>
      <c r="I300" s="171">
        <f t="shared" si="46"/>
        <v>112.37</v>
      </c>
      <c r="J300" s="547"/>
      <c r="K300" s="131"/>
    </row>
    <row r="301" spans="1:11" ht="28.5">
      <c r="A301" s="209" t="s">
        <v>853</v>
      </c>
      <c r="B301" s="315">
        <v>86914</v>
      </c>
      <c r="C301" s="322" t="s">
        <v>271</v>
      </c>
      <c r="D301" s="166" t="s">
        <v>57</v>
      </c>
      <c r="E301" s="1968">
        <v>41.87</v>
      </c>
      <c r="F301" s="169">
        <f t="shared" si="44"/>
        <v>1</v>
      </c>
      <c r="G301" s="316">
        <v>1</v>
      </c>
      <c r="H301" s="332">
        <f t="shared" si="45"/>
        <v>51.17</v>
      </c>
      <c r="I301" s="171">
        <f t="shared" si="46"/>
        <v>51.17</v>
      </c>
      <c r="J301" s="547"/>
      <c r="K301" s="131"/>
    </row>
    <row r="302" spans="1:11" ht="29.25" customHeight="1">
      <c r="A302" s="209" t="s">
        <v>854</v>
      </c>
      <c r="B302" s="168" t="s">
        <v>154</v>
      </c>
      <c r="C302" s="252" t="s">
        <v>1064</v>
      </c>
      <c r="D302" s="166" t="s">
        <v>57</v>
      </c>
      <c r="E302" s="1968">
        <v>236.55</v>
      </c>
      <c r="F302" s="169">
        <f t="shared" si="44"/>
        <v>2</v>
      </c>
      <c r="G302" s="316">
        <v>2</v>
      </c>
      <c r="H302" s="332">
        <f t="shared" si="45"/>
        <v>289.13</v>
      </c>
      <c r="I302" s="171">
        <f t="shared" si="46"/>
        <v>578.26</v>
      </c>
      <c r="J302" s="573">
        <f>'COMP CIVIL'!F125</f>
        <v>236.55</v>
      </c>
      <c r="K302" s="131"/>
    </row>
    <row r="303" spans="1:11" ht="28.5">
      <c r="A303" s="209" t="s">
        <v>855</v>
      </c>
      <c r="B303" s="168" t="s">
        <v>543</v>
      </c>
      <c r="C303" s="153" t="s">
        <v>383</v>
      </c>
      <c r="D303" s="166" t="s">
        <v>57</v>
      </c>
      <c r="E303" s="1968">
        <v>227.95</v>
      </c>
      <c r="F303" s="169">
        <f t="shared" si="44"/>
        <v>2</v>
      </c>
      <c r="G303" s="316">
        <v>2</v>
      </c>
      <c r="H303" s="332">
        <f t="shared" si="45"/>
        <v>278.62</v>
      </c>
      <c r="I303" s="171">
        <f t="shared" si="46"/>
        <v>557.24</v>
      </c>
      <c r="J303" s="573">
        <f>'COMP CIVIL'!F268</f>
        <v>227.95</v>
      </c>
      <c r="K303" s="131"/>
    </row>
    <row r="304" spans="1:11" ht="28.5">
      <c r="A304" s="209" t="s">
        <v>856</v>
      </c>
      <c r="B304" s="168" t="s">
        <v>551</v>
      </c>
      <c r="C304" s="153" t="s">
        <v>384</v>
      </c>
      <c r="D304" s="182" t="s">
        <v>57</v>
      </c>
      <c r="E304" s="1968">
        <v>216.7</v>
      </c>
      <c r="F304" s="169">
        <f t="shared" si="44"/>
        <v>2</v>
      </c>
      <c r="G304" s="316">
        <v>2</v>
      </c>
      <c r="H304" s="332">
        <f t="shared" si="45"/>
        <v>264.87</v>
      </c>
      <c r="I304" s="171">
        <f t="shared" si="46"/>
        <v>529.74</v>
      </c>
      <c r="J304" s="573">
        <f>'COMP CIVIL'!F280</f>
        <v>216.7</v>
      </c>
      <c r="K304" s="131"/>
    </row>
    <row r="305" spans="1:11" ht="28.5">
      <c r="A305" s="209" t="s">
        <v>857</v>
      </c>
      <c r="B305" s="247">
        <v>95547</v>
      </c>
      <c r="C305" s="153" t="s">
        <v>1054</v>
      </c>
      <c r="D305" s="182" t="s">
        <v>57</v>
      </c>
      <c r="E305" s="1968">
        <v>90.29</v>
      </c>
      <c r="F305" s="169">
        <f t="shared" si="44"/>
        <v>4</v>
      </c>
      <c r="G305" s="316">
        <v>4</v>
      </c>
      <c r="H305" s="332">
        <f t="shared" si="45"/>
        <v>110.36</v>
      </c>
      <c r="I305" s="171">
        <f t="shared" si="46"/>
        <v>441.44</v>
      </c>
      <c r="J305" s="411"/>
      <c r="K305" s="131"/>
    </row>
    <row r="306" spans="1:11" ht="48" customHeight="1">
      <c r="A306" s="209" t="s">
        <v>1364</v>
      </c>
      <c r="B306" s="247" t="s">
        <v>597</v>
      </c>
      <c r="C306" s="252" t="s">
        <v>1055</v>
      </c>
      <c r="D306" s="247" t="s">
        <v>48</v>
      </c>
      <c r="E306" s="1968">
        <v>704.39</v>
      </c>
      <c r="F306" s="169">
        <f t="shared" si="44"/>
        <v>1.62</v>
      </c>
      <c r="G306" s="316">
        <v>1.62</v>
      </c>
      <c r="H306" s="332">
        <f t="shared" si="45"/>
        <v>860.97</v>
      </c>
      <c r="I306" s="171">
        <f t="shared" si="46"/>
        <v>1394.77</v>
      </c>
      <c r="J306" s="573">
        <f>'COMP CIVIL'!F294</f>
        <v>704.39</v>
      </c>
      <c r="K306" s="131"/>
    </row>
    <row r="307" spans="1:11">
      <c r="A307" s="209" t="s">
        <v>1366</v>
      </c>
      <c r="B307" s="247" t="s">
        <v>1058</v>
      </c>
      <c r="C307" s="252" t="s">
        <v>1059</v>
      </c>
      <c r="D307" s="182" t="s">
        <v>57</v>
      </c>
      <c r="E307" s="1968">
        <v>100.04</v>
      </c>
      <c r="F307" s="169">
        <f t="shared" si="44"/>
        <v>6</v>
      </c>
      <c r="G307" s="316">
        <v>6</v>
      </c>
      <c r="H307" s="332">
        <f t="shared" si="45"/>
        <v>122.27</v>
      </c>
      <c r="I307" s="171">
        <f t="shared" si="46"/>
        <v>733.62</v>
      </c>
      <c r="J307" s="573">
        <f>'COMP CIVIL'!F305</f>
        <v>100.04</v>
      </c>
      <c r="K307" s="131"/>
    </row>
    <row r="308" spans="1:11">
      <c r="A308" s="209" t="s">
        <v>1367</v>
      </c>
      <c r="B308" s="247" t="s">
        <v>1061</v>
      </c>
      <c r="C308" s="252" t="s">
        <v>1062</v>
      </c>
      <c r="D308" s="182" t="s">
        <v>57</v>
      </c>
      <c r="E308" s="1968">
        <v>100.04</v>
      </c>
      <c r="F308" s="169">
        <f t="shared" si="44"/>
        <v>4</v>
      </c>
      <c r="G308" s="316">
        <v>4</v>
      </c>
      <c r="H308" s="332">
        <f t="shared" si="45"/>
        <v>122.27</v>
      </c>
      <c r="I308" s="171">
        <f t="shared" si="46"/>
        <v>489.08</v>
      </c>
      <c r="J308" s="573">
        <f>'COMP CIVIL'!F316</f>
        <v>100.04</v>
      </c>
      <c r="K308" s="131"/>
    </row>
    <row r="309" spans="1:11" ht="15.75" thickBot="1">
      <c r="A309" s="719"/>
      <c r="B309" s="179"/>
      <c r="C309" s="179"/>
      <c r="D309" s="179"/>
      <c r="E309" s="1969"/>
      <c r="F309" s="180"/>
      <c r="G309" s="181"/>
      <c r="H309" s="211" t="s">
        <v>16</v>
      </c>
      <c r="I309" s="212">
        <f>TRUNC(SUM(I294:I308),2)</f>
        <v>8053.75</v>
      </c>
      <c r="J309" s="547"/>
      <c r="K309" s="131"/>
    </row>
    <row r="310" spans="1:11">
      <c r="A310" s="622">
        <v>15</v>
      </c>
      <c r="B310" s="623"/>
      <c r="C310" s="624" t="s">
        <v>274</v>
      </c>
      <c r="D310" s="625"/>
      <c r="E310" s="1967"/>
      <c r="F310" s="625"/>
      <c r="G310" s="627"/>
      <c r="H310" s="627"/>
      <c r="I310" s="628"/>
      <c r="J310" s="482"/>
      <c r="K310" s="131"/>
    </row>
    <row r="311" spans="1:11" ht="14.25" customHeight="1">
      <c r="A311" s="575" t="s">
        <v>582</v>
      </c>
      <c r="B311" s="576"/>
      <c r="C311" s="577" t="s">
        <v>1305</v>
      </c>
      <c r="D311" s="578"/>
      <c r="E311" s="1972"/>
      <c r="F311" s="579"/>
      <c r="G311" s="580"/>
      <c r="H311" s="579"/>
      <c r="I311" s="581"/>
      <c r="J311" s="482" t="s">
        <v>923</v>
      </c>
      <c r="K311" s="131"/>
    </row>
    <row r="312" spans="1:11" ht="45.75" customHeight="1" thickBot="1">
      <c r="A312" s="379" t="s">
        <v>858</v>
      </c>
      <c r="B312" s="1819">
        <v>89707</v>
      </c>
      <c r="C312" s="1892" t="s">
        <v>159</v>
      </c>
      <c r="D312" s="1863" t="s">
        <v>57</v>
      </c>
      <c r="E312" s="1964">
        <v>30.21</v>
      </c>
      <c r="F312" s="965">
        <f t="shared" ref="F312:F364" si="47">IF(OR(E312&lt;=0)," ",TRUNC(G312,2))</f>
        <v>1</v>
      </c>
      <c r="G312" s="1893">
        <v>1</v>
      </c>
      <c r="H312" s="955">
        <f t="shared" ref="H312:H364" si="48">IF(OR(E312&lt;=0)," ",TRUNC((E312*(1+$I$9)),2))</f>
        <v>36.92</v>
      </c>
      <c r="I312" s="1821">
        <f t="shared" ref="I312:I364" si="49">IF(OR(E312&lt;=0)," ",TRUNC((H312*F312),2))</f>
        <v>36.92</v>
      </c>
      <c r="J312" s="850"/>
      <c r="K312" s="131"/>
    </row>
    <row r="313" spans="1:11" ht="38.25" customHeight="1">
      <c r="A313" s="1894" t="s">
        <v>859</v>
      </c>
      <c r="B313" s="1882" t="s">
        <v>441</v>
      </c>
      <c r="C313" s="1895" t="s">
        <v>275</v>
      </c>
      <c r="D313" s="1868" t="s">
        <v>57</v>
      </c>
      <c r="E313" s="1965">
        <v>50.12</v>
      </c>
      <c r="F313" s="1826">
        <f t="shared" si="47"/>
        <v>5</v>
      </c>
      <c r="G313" s="1896">
        <v>5</v>
      </c>
      <c r="H313" s="1828">
        <f t="shared" si="48"/>
        <v>61.26</v>
      </c>
      <c r="I313" s="1829">
        <f t="shared" si="49"/>
        <v>306.3</v>
      </c>
      <c r="J313" s="930">
        <f>'COMP HIDR'!F187</f>
        <v>50.120000000000005</v>
      </c>
      <c r="K313" s="131"/>
    </row>
    <row r="314" spans="1:11" ht="42.75">
      <c r="A314" s="382" t="s">
        <v>860</v>
      </c>
      <c r="B314" s="168">
        <v>89732</v>
      </c>
      <c r="C314" s="251" t="s">
        <v>163</v>
      </c>
      <c r="D314" s="182" t="s">
        <v>57</v>
      </c>
      <c r="E314" s="1959">
        <v>10.94</v>
      </c>
      <c r="F314" s="353">
        <f t="shared" si="47"/>
        <v>4</v>
      </c>
      <c r="G314" s="947">
        <v>4</v>
      </c>
      <c r="H314" s="354">
        <f t="shared" si="48"/>
        <v>13.37</v>
      </c>
      <c r="I314" s="171">
        <f t="shared" si="49"/>
        <v>53.48</v>
      </c>
      <c r="J314" s="849"/>
      <c r="K314" s="238"/>
    </row>
    <row r="315" spans="1:11" ht="42.75">
      <c r="A315" s="382" t="s">
        <v>861</v>
      </c>
      <c r="B315" s="168">
        <v>89746</v>
      </c>
      <c r="C315" s="251" t="s">
        <v>276</v>
      </c>
      <c r="D315" s="182" t="s">
        <v>57</v>
      </c>
      <c r="E315" s="1959">
        <v>22.88</v>
      </c>
      <c r="F315" s="353">
        <f t="shared" si="47"/>
        <v>7</v>
      </c>
      <c r="G315" s="947">
        <v>7</v>
      </c>
      <c r="H315" s="354">
        <f t="shared" si="48"/>
        <v>27.96</v>
      </c>
      <c r="I315" s="171">
        <f t="shared" si="49"/>
        <v>195.72</v>
      </c>
      <c r="J315" s="849"/>
      <c r="K315" s="238"/>
    </row>
    <row r="316" spans="1:11" ht="48.75" customHeight="1">
      <c r="A316" s="382" t="s">
        <v>862</v>
      </c>
      <c r="B316" s="168">
        <v>89737</v>
      </c>
      <c r="C316" s="153" t="s">
        <v>1536</v>
      </c>
      <c r="D316" s="182" t="s">
        <v>57</v>
      </c>
      <c r="E316" s="1959">
        <v>17.66</v>
      </c>
      <c r="F316" s="353">
        <f t="shared" si="47"/>
        <v>2</v>
      </c>
      <c r="G316" s="947">
        <v>2</v>
      </c>
      <c r="H316" s="354">
        <f t="shared" si="48"/>
        <v>21.58</v>
      </c>
      <c r="I316" s="171">
        <f t="shared" si="49"/>
        <v>43.16</v>
      </c>
      <c r="J316" s="849"/>
      <c r="K316" s="290"/>
    </row>
    <row r="317" spans="1:11" ht="50.25" customHeight="1">
      <c r="A317" s="382" t="s">
        <v>863</v>
      </c>
      <c r="B317" s="168">
        <v>89724</v>
      </c>
      <c r="C317" s="153" t="s">
        <v>1535</v>
      </c>
      <c r="D317" s="182" t="s">
        <v>57</v>
      </c>
      <c r="E317" s="1959">
        <v>8.7100000000000009</v>
      </c>
      <c r="F317" s="353">
        <f t="shared" si="47"/>
        <v>7</v>
      </c>
      <c r="G317" s="947">
        <v>7</v>
      </c>
      <c r="H317" s="354">
        <f t="shared" si="48"/>
        <v>10.64</v>
      </c>
      <c r="I317" s="171">
        <f t="shared" si="49"/>
        <v>74.48</v>
      </c>
      <c r="J317" s="849"/>
      <c r="K317" s="238"/>
    </row>
    <row r="318" spans="1:11" ht="48" customHeight="1">
      <c r="A318" s="382" t="s">
        <v>864</v>
      </c>
      <c r="B318" s="168">
        <v>89731</v>
      </c>
      <c r="C318" s="251" t="s">
        <v>277</v>
      </c>
      <c r="D318" s="182" t="s">
        <v>57</v>
      </c>
      <c r="E318" s="1959">
        <v>10.38</v>
      </c>
      <c r="F318" s="353">
        <f t="shared" si="47"/>
        <v>7</v>
      </c>
      <c r="G318" s="947">
        <v>7</v>
      </c>
      <c r="H318" s="354">
        <f t="shared" si="48"/>
        <v>12.68</v>
      </c>
      <c r="I318" s="171">
        <f t="shared" si="49"/>
        <v>88.76</v>
      </c>
      <c r="J318" s="849"/>
      <c r="K318" s="238"/>
    </row>
    <row r="319" spans="1:11" ht="46.5" customHeight="1">
      <c r="A319" s="382" t="s">
        <v>865</v>
      </c>
      <c r="B319" s="168">
        <v>89744</v>
      </c>
      <c r="C319" s="251" t="s">
        <v>278</v>
      </c>
      <c r="D319" s="182" t="s">
        <v>57</v>
      </c>
      <c r="E319" s="1959">
        <v>22.93</v>
      </c>
      <c r="F319" s="353">
        <f t="shared" si="47"/>
        <v>7</v>
      </c>
      <c r="G319" s="947">
        <v>7</v>
      </c>
      <c r="H319" s="354">
        <f t="shared" si="48"/>
        <v>28.02</v>
      </c>
      <c r="I319" s="171">
        <f t="shared" si="49"/>
        <v>196.14</v>
      </c>
      <c r="J319" s="849"/>
      <c r="K319" s="238"/>
    </row>
    <row r="320" spans="1:11" ht="19.5" customHeight="1">
      <c r="A320" s="382" t="s">
        <v>866</v>
      </c>
      <c r="B320" s="315" t="s">
        <v>1537</v>
      </c>
      <c r="C320" s="251" t="s">
        <v>1538</v>
      </c>
      <c r="D320" s="182" t="s">
        <v>57</v>
      </c>
      <c r="E320" s="1959">
        <v>30.11</v>
      </c>
      <c r="F320" s="353">
        <f t="shared" si="47"/>
        <v>7</v>
      </c>
      <c r="G320" s="947">
        <v>7</v>
      </c>
      <c r="H320" s="354">
        <f t="shared" si="48"/>
        <v>36.799999999999997</v>
      </c>
      <c r="I320" s="171">
        <f t="shared" si="49"/>
        <v>257.60000000000002</v>
      </c>
      <c r="J320" s="930">
        <f>'COMP HIDR'!F199</f>
        <v>30.11</v>
      </c>
      <c r="K320" s="238"/>
    </row>
    <row r="321" spans="1:11" ht="49.5" customHeight="1">
      <c r="A321" s="382" t="s">
        <v>867</v>
      </c>
      <c r="B321" s="315" t="s">
        <v>1541</v>
      </c>
      <c r="C321" s="929" t="s">
        <v>1524</v>
      </c>
      <c r="D321" s="182" t="s">
        <v>57</v>
      </c>
      <c r="E321" s="1959">
        <v>32.96</v>
      </c>
      <c r="F321" s="353">
        <f t="shared" si="47"/>
        <v>2</v>
      </c>
      <c r="G321" s="947">
        <v>2</v>
      </c>
      <c r="H321" s="354">
        <f t="shared" si="48"/>
        <v>40.28</v>
      </c>
      <c r="I321" s="171">
        <f t="shared" si="49"/>
        <v>80.56</v>
      </c>
      <c r="J321" s="930">
        <f>'COMP HIDR'!F213</f>
        <v>32.96</v>
      </c>
      <c r="K321" s="238"/>
    </row>
    <row r="322" spans="1:11" ht="49.5" customHeight="1">
      <c r="A322" s="382" t="s">
        <v>868</v>
      </c>
      <c r="B322" s="333">
        <v>89785</v>
      </c>
      <c r="C322" s="153" t="s">
        <v>1525</v>
      </c>
      <c r="D322" s="182" t="s">
        <v>57</v>
      </c>
      <c r="E322" s="1959">
        <v>21.1</v>
      </c>
      <c r="F322" s="353">
        <f t="shared" si="47"/>
        <v>2</v>
      </c>
      <c r="G322" s="947">
        <v>2</v>
      </c>
      <c r="H322" s="354">
        <f t="shared" si="48"/>
        <v>25.79</v>
      </c>
      <c r="I322" s="171">
        <f t="shared" si="49"/>
        <v>51.58</v>
      </c>
      <c r="J322" s="849"/>
      <c r="K322" s="238"/>
    </row>
    <row r="323" spans="1:11" ht="42.75">
      <c r="A323" s="382" t="s">
        <v>869</v>
      </c>
      <c r="B323" s="335">
        <v>89797</v>
      </c>
      <c r="C323" s="929" t="s">
        <v>164</v>
      </c>
      <c r="D323" s="182" t="s">
        <v>57</v>
      </c>
      <c r="E323" s="1959">
        <v>44.47</v>
      </c>
      <c r="F323" s="353">
        <f t="shared" si="47"/>
        <v>4</v>
      </c>
      <c r="G323" s="947">
        <v>4</v>
      </c>
      <c r="H323" s="354">
        <f t="shared" si="48"/>
        <v>54.35</v>
      </c>
      <c r="I323" s="171">
        <f t="shared" si="49"/>
        <v>217.4</v>
      </c>
      <c r="J323" s="849"/>
      <c r="K323" s="238"/>
    </row>
    <row r="324" spans="1:11" ht="42.75">
      <c r="A324" s="382" t="s">
        <v>870</v>
      </c>
      <c r="B324" s="168">
        <v>89711</v>
      </c>
      <c r="C324" s="251" t="s">
        <v>161</v>
      </c>
      <c r="D324" s="331" t="s">
        <v>56</v>
      </c>
      <c r="E324" s="1959">
        <v>15.74</v>
      </c>
      <c r="F324" s="353">
        <f t="shared" si="47"/>
        <v>9.7200000000000006</v>
      </c>
      <c r="G324" s="947">
        <v>9.7200000000000006</v>
      </c>
      <c r="H324" s="354">
        <f t="shared" si="48"/>
        <v>19.23</v>
      </c>
      <c r="I324" s="171">
        <f t="shared" si="49"/>
        <v>186.91</v>
      </c>
      <c r="J324" s="415"/>
      <c r="K324" s="238"/>
    </row>
    <row r="325" spans="1:11" ht="42.75">
      <c r="A325" s="382" t="s">
        <v>871</v>
      </c>
      <c r="B325" s="168">
        <v>89712</v>
      </c>
      <c r="C325" s="251" t="s">
        <v>162</v>
      </c>
      <c r="D325" s="331" t="s">
        <v>56</v>
      </c>
      <c r="E325" s="1959">
        <v>24.15</v>
      </c>
      <c r="F325" s="353">
        <f t="shared" si="47"/>
        <v>29.38</v>
      </c>
      <c r="G325" s="947">
        <v>29.38</v>
      </c>
      <c r="H325" s="354">
        <f t="shared" si="48"/>
        <v>29.51</v>
      </c>
      <c r="I325" s="171">
        <f t="shared" si="49"/>
        <v>867</v>
      </c>
      <c r="J325" s="415"/>
      <c r="K325" s="238"/>
    </row>
    <row r="326" spans="1:11" ht="49.5" customHeight="1" thickBot="1">
      <c r="A326" s="379" t="s">
        <v>872</v>
      </c>
      <c r="B326" s="1819">
        <v>89714</v>
      </c>
      <c r="C326" s="1892" t="s">
        <v>160</v>
      </c>
      <c r="D326" s="1897" t="s">
        <v>56</v>
      </c>
      <c r="E326" s="1964">
        <v>47.53</v>
      </c>
      <c r="F326" s="965">
        <f t="shared" si="47"/>
        <v>22.94</v>
      </c>
      <c r="G326" s="1893">
        <v>22.94</v>
      </c>
      <c r="H326" s="955">
        <f t="shared" si="48"/>
        <v>58.09</v>
      </c>
      <c r="I326" s="1821">
        <f t="shared" si="49"/>
        <v>1332.58</v>
      </c>
      <c r="J326" s="415"/>
      <c r="K326" s="238"/>
    </row>
    <row r="327" spans="1:11" ht="63" customHeight="1">
      <c r="A327" s="1894" t="s">
        <v>873</v>
      </c>
      <c r="B327" s="1898">
        <v>91794</v>
      </c>
      <c r="C327" s="1883" t="s">
        <v>1544</v>
      </c>
      <c r="D327" s="1899" t="s">
        <v>56</v>
      </c>
      <c r="E327" s="1965">
        <v>36.49</v>
      </c>
      <c r="F327" s="1826">
        <f t="shared" si="47"/>
        <v>1.84</v>
      </c>
      <c r="G327" s="1896">
        <v>1.84</v>
      </c>
      <c r="H327" s="1828">
        <f t="shared" si="48"/>
        <v>44.6</v>
      </c>
      <c r="I327" s="1829">
        <f t="shared" si="49"/>
        <v>82.06</v>
      </c>
      <c r="J327" s="848"/>
      <c r="K327" s="238"/>
    </row>
    <row r="328" spans="1:11" ht="42.75">
      <c r="A328" s="382" t="s">
        <v>874</v>
      </c>
      <c r="B328" s="168">
        <v>89784</v>
      </c>
      <c r="C328" s="251" t="s">
        <v>1545</v>
      </c>
      <c r="D328" s="182" t="s">
        <v>57</v>
      </c>
      <c r="E328" s="1959">
        <v>19.5</v>
      </c>
      <c r="F328" s="353">
        <f t="shared" si="47"/>
        <v>5</v>
      </c>
      <c r="G328" s="947">
        <v>5</v>
      </c>
      <c r="H328" s="354">
        <f t="shared" si="48"/>
        <v>23.83</v>
      </c>
      <c r="I328" s="171">
        <f t="shared" si="49"/>
        <v>119.15</v>
      </c>
      <c r="J328" s="415"/>
      <c r="K328" s="238"/>
    </row>
    <row r="329" spans="1:11" ht="28.5">
      <c r="A329" s="382" t="s">
        <v>875</v>
      </c>
      <c r="B329" s="315" t="s">
        <v>443</v>
      </c>
      <c r="C329" s="322" t="s">
        <v>1526</v>
      </c>
      <c r="D329" s="182" t="s">
        <v>57</v>
      </c>
      <c r="E329" s="1959">
        <v>48.34</v>
      </c>
      <c r="F329" s="353">
        <f t="shared" si="47"/>
        <v>2</v>
      </c>
      <c r="G329" s="947">
        <v>2</v>
      </c>
      <c r="H329" s="354">
        <f t="shared" si="48"/>
        <v>59.08</v>
      </c>
      <c r="I329" s="171">
        <f t="shared" si="49"/>
        <v>118.16</v>
      </c>
      <c r="J329" s="934">
        <f>'COMP HIDR'!F227</f>
        <v>48.34</v>
      </c>
      <c r="K329" s="238"/>
    </row>
    <row r="330" spans="1:11">
      <c r="A330" s="382" t="s">
        <v>876</v>
      </c>
      <c r="B330" s="315" t="s">
        <v>446</v>
      </c>
      <c r="C330" s="251" t="s">
        <v>1555</v>
      </c>
      <c r="D330" s="182" t="s">
        <v>57</v>
      </c>
      <c r="E330" s="1959">
        <v>10.1</v>
      </c>
      <c r="F330" s="353">
        <f t="shared" si="47"/>
        <v>8</v>
      </c>
      <c r="G330" s="947">
        <v>8</v>
      </c>
      <c r="H330" s="354">
        <f t="shared" si="48"/>
        <v>12.34</v>
      </c>
      <c r="I330" s="171">
        <f t="shared" si="49"/>
        <v>98.72</v>
      </c>
      <c r="J330" s="934">
        <f>'COMP HIDR'!F263</f>
        <v>10.1</v>
      </c>
      <c r="K330" s="238"/>
    </row>
    <row r="331" spans="1:11">
      <c r="A331" s="382" t="s">
        <v>1527</v>
      </c>
      <c r="B331" s="315" t="s">
        <v>447</v>
      </c>
      <c r="C331" s="322" t="s">
        <v>1556</v>
      </c>
      <c r="D331" s="182" t="s">
        <v>57</v>
      </c>
      <c r="E331" s="1959">
        <v>14.24</v>
      </c>
      <c r="F331" s="353">
        <f t="shared" si="47"/>
        <v>1</v>
      </c>
      <c r="G331" s="947">
        <v>1</v>
      </c>
      <c r="H331" s="354">
        <f t="shared" si="48"/>
        <v>17.399999999999999</v>
      </c>
      <c r="I331" s="171">
        <f t="shared" si="49"/>
        <v>17.399999999999999</v>
      </c>
      <c r="J331" s="934">
        <f>'COMP HIDR'!F276</f>
        <v>14.24</v>
      </c>
      <c r="K331" s="238"/>
    </row>
    <row r="332" spans="1:11" ht="18.75" customHeight="1">
      <c r="A332" s="382" t="s">
        <v>1528</v>
      </c>
      <c r="B332" s="315" t="s">
        <v>448</v>
      </c>
      <c r="C332" s="251" t="s">
        <v>1558</v>
      </c>
      <c r="D332" s="182" t="s">
        <v>57</v>
      </c>
      <c r="E332" s="1959">
        <v>511.94</v>
      </c>
      <c r="F332" s="353">
        <f t="shared" si="47"/>
        <v>3</v>
      </c>
      <c r="G332" s="947">
        <v>3</v>
      </c>
      <c r="H332" s="354">
        <f t="shared" si="48"/>
        <v>625.74</v>
      </c>
      <c r="I332" s="171">
        <f t="shared" si="49"/>
        <v>1877.22</v>
      </c>
      <c r="J332" s="415">
        <f>'COMP HIDR'!F287</f>
        <v>511.94</v>
      </c>
      <c r="K332" s="238"/>
    </row>
    <row r="333" spans="1:11" ht="28.5" customHeight="1">
      <c r="A333" s="382" t="s">
        <v>1529</v>
      </c>
      <c r="B333" s="168">
        <v>98110</v>
      </c>
      <c r="C333" s="153" t="s">
        <v>1557</v>
      </c>
      <c r="D333" s="182" t="s">
        <v>57</v>
      </c>
      <c r="E333" s="1959">
        <v>507.44</v>
      </c>
      <c r="F333" s="353">
        <f t="shared" si="47"/>
        <v>1</v>
      </c>
      <c r="G333" s="947">
        <v>1</v>
      </c>
      <c r="H333" s="354">
        <f t="shared" si="48"/>
        <v>620.24</v>
      </c>
      <c r="I333" s="171">
        <f t="shared" si="49"/>
        <v>620.24</v>
      </c>
      <c r="J333" s="415"/>
      <c r="K333" s="238"/>
    </row>
    <row r="334" spans="1:11" ht="15.75" customHeight="1">
      <c r="A334" s="382" t="s">
        <v>1530</v>
      </c>
      <c r="B334" s="168" t="s">
        <v>444</v>
      </c>
      <c r="C334" s="251" t="s">
        <v>1553</v>
      </c>
      <c r="D334" s="182" t="s">
        <v>57</v>
      </c>
      <c r="E334" s="1961">
        <v>40.36</v>
      </c>
      <c r="F334" s="1831">
        <f t="shared" si="47"/>
        <v>1</v>
      </c>
      <c r="G334" s="1900">
        <v>1</v>
      </c>
      <c r="H334" s="354">
        <f t="shared" si="48"/>
        <v>49.33</v>
      </c>
      <c r="I334" s="171">
        <f t="shared" si="49"/>
        <v>49.33</v>
      </c>
      <c r="J334" s="415">
        <f>'COMP HIDR'!F239</f>
        <v>40.36</v>
      </c>
      <c r="K334" s="238"/>
    </row>
    <row r="335" spans="1:11" ht="30" customHeight="1">
      <c r="A335" s="382" t="s">
        <v>1531</v>
      </c>
      <c r="B335" s="168">
        <v>86883</v>
      </c>
      <c r="C335" s="153" t="s">
        <v>1552</v>
      </c>
      <c r="D335" s="182" t="s">
        <v>57</v>
      </c>
      <c r="E335" s="1961">
        <v>11.15</v>
      </c>
      <c r="F335" s="1831">
        <f t="shared" si="47"/>
        <v>7</v>
      </c>
      <c r="G335" s="1900">
        <v>7</v>
      </c>
      <c r="H335" s="354">
        <f t="shared" si="48"/>
        <v>13.62</v>
      </c>
      <c r="I335" s="171">
        <f t="shared" si="49"/>
        <v>95.34</v>
      </c>
      <c r="J335" s="415"/>
      <c r="K335" s="238"/>
    </row>
    <row r="336" spans="1:11" ht="15.75" customHeight="1">
      <c r="A336" s="382" t="s">
        <v>1532</v>
      </c>
      <c r="B336" s="315" t="s">
        <v>445</v>
      </c>
      <c r="C336" s="251" t="s">
        <v>1554</v>
      </c>
      <c r="D336" s="182" t="s">
        <v>57</v>
      </c>
      <c r="E336" s="1961">
        <v>8.3699999999999992</v>
      </c>
      <c r="F336" s="1831">
        <f t="shared" si="47"/>
        <v>2</v>
      </c>
      <c r="G336" s="1900">
        <v>2</v>
      </c>
      <c r="H336" s="354">
        <f t="shared" si="48"/>
        <v>10.23</v>
      </c>
      <c r="I336" s="171">
        <f t="shared" si="49"/>
        <v>20.46</v>
      </c>
      <c r="J336" s="415">
        <f>'COMP HIDR'!F250</f>
        <v>8.3699999999999992</v>
      </c>
      <c r="K336" s="238"/>
    </row>
    <row r="337" spans="1:11" ht="30.75" customHeight="1">
      <c r="A337" s="382" t="s">
        <v>1533</v>
      </c>
      <c r="B337" s="1901">
        <v>86879</v>
      </c>
      <c r="C337" s="153" t="s">
        <v>1549</v>
      </c>
      <c r="D337" s="182" t="s">
        <v>57</v>
      </c>
      <c r="E337" s="1961">
        <v>6.42</v>
      </c>
      <c r="F337" s="1831">
        <f t="shared" si="47"/>
        <v>8</v>
      </c>
      <c r="G337" s="1900">
        <v>8</v>
      </c>
      <c r="H337" s="354">
        <f t="shared" si="48"/>
        <v>7.84</v>
      </c>
      <c r="I337" s="171">
        <f t="shared" si="49"/>
        <v>62.72</v>
      </c>
      <c r="J337" s="415"/>
      <c r="K337" s="238"/>
    </row>
    <row r="338" spans="1:11" ht="15.75" thickBot="1">
      <c r="A338" s="379"/>
      <c r="B338" s="175"/>
      <c r="C338" s="342"/>
      <c r="D338" s="175"/>
      <c r="E338" s="1964"/>
      <c r="F338" s="954"/>
      <c r="G338" s="974"/>
      <c r="H338" s="956" t="s">
        <v>16</v>
      </c>
      <c r="I338" s="178">
        <f>TRUNC(SUM(I312:I337),2)</f>
        <v>7149.39</v>
      </c>
      <c r="J338" s="547"/>
      <c r="K338" s="238"/>
    </row>
    <row r="339" spans="1:11" ht="15.75">
      <c r="A339" s="582" t="s">
        <v>152</v>
      </c>
      <c r="B339" s="583"/>
      <c r="C339" s="584" t="s">
        <v>581</v>
      </c>
      <c r="D339" s="585"/>
      <c r="E339" s="1973"/>
      <c r="F339" s="975"/>
      <c r="G339" s="976"/>
      <c r="H339" s="975"/>
      <c r="I339" s="586"/>
      <c r="J339" s="547"/>
      <c r="K339" s="238"/>
    </row>
    <row r="340" spans="1:11" ht="44.25" customHeight="1">
      <c r="A340" s="587" t="s">
        <v>877</v>
      </c>
      <c r="B340" s="588"/>
      <c r="C340" s="589" t="s">
        <v>280</v>
      </c>
      <c r="D340" s="590"/>
      <c r="E340" s="1974"/>
      <c r="F340" s="977"/>
      <c r="G340" s="978"/>
      <c r="H340" s="977"/>
      <c r="I340" s="591"/>
      <c r="J340" s="482" t="s">
        <v>923</v>
      </c>
      <c r="K340" s="238"/>
    </row>
    <row r="341" spans="1:11" ht="28.5">
      <c r="A341" s="383" t="s">
        <v>878</v>
      </c>
      <c r="B341" s="387">
        <v>96522</v>
      </c>
      <c r="C341" s="920" t="s">
        <v>279</v>
      </c>
      <c r="D341" s="320" t="s">
        <v>49</v>
      </c>
      <c r="E341" s="1960">
        <v>111.78</v>
      </c>
      <c r="F341" s="353">
        <f t="shared" si="47"/>
        <v>9.11</v>
      </c>
      <c r="G341" s="952">
        <v>9.11</v>
      </c>
      <c r="H341" s="354">
        <f t="shared" si="48"/>
        <v>136.62</v>
      </c>
      <c r="I341" s="171">
        <f t="shared" si="49"/>
        <v>1244.5999999999999</v>
      </c>
      <c r="J341" s="592"/>
      <c r="K341" s="238"/>
    </row>
    <row r="342" spans="1:11" ht="46.5" customHeight="1">
      <c r="A342" s="383" t="s">
        <v>879</v>
      </c>
      <c r="B342" s="387">
        <v>100323</v>
      </c>
      <c r="C342" s="153" t="s">
        <v>1598</v>
      </c>
      <c r="D342" s="320" t="s">
        <v>49</v>
      </c>
      <c r="E342" s="1960">
        <v>109.91</v>
      </c>
      <c r="F342" s="353">
        <f t="shared" si="47"/>
        <v>0.76</v>
      </c>
      <c r="G342" s="952">
        <v>0.76300000000000001</v>
      </c>
      <c r="H342" s="354">
        <f t="shared" si="48"/>
        <v>134.34</v>
      </c>
      <c r="I342" s="171">
        <f t="shared" si="49"/>
        <v>102.09</v>
      </c>
      <c r="J342" s="592"/>
      <c r="K342" s="238"/>
    </row>
    <row r="343" spans="1:11" ht="46.5" customHeight="1">
      <c r="A343" s="383" t="s">
        <v>880</v>
      </c>
      <c r="B343" s="387">
        <v>101159</v>
      </c>
      <c r="C343" s="153" t="s">
        <v>396</v>
      </c>
      <c r="D343" s="336" t="s">
        <v>48</v>
      </c>
      <c r="E343" s="1960">
        <v>120.23</v>
      </c>
      <c r="F343" s="353">
        <f t="shared" si="47"/>
        <v>14.44</v>
      </c>
      <c r="G343" s="952">
        <v>14.44</v>
      </c>
      <c r="H343" s="354">
        <f t="shared" si="48"/>
        <v>146.94999999999999</v>
      </c>
      <c r="I343" s="171">
        <f t="shared" si="49"/>
        <v>2121.9499999999998</v>
      </c>
      <c r="J343" s="592"/>
      <c r="K343" s="660" t="s">
        <v>1593</v>
      </c>
    </row>
    <row r="344" spans="1:11" ht="30.75" customHeight="1">
      <c r="A344" s="383" t="s">
        <v>881</v>
      </c>
      <c r="B344" s="247">
        <v>96536</v>
      </c>
      <c r="C344" s="288" t="s">
        <v>368</v>
      </c>
      <c r="D344" s="247" t="s">
        <v>48</v>
      </c>
      <c r="E344" s="1959">
        <v>50.71</v>
      </c>
      <c r="F344" s="353">
        <f t="shared" si="47"/>
        <v>7.54</v>
      </c>
      <c r="G344" s="952">
        <v>7.54</v>
      </c>
      <c r="H344" s="354">
        <f t="shared" si="48"/>
        <v>61.98</v>
      </c>
      <c r="I344" s="171">
        <f t="shared" si="49"/>
        <v>467.32</v>
      </c>
      <c r="J344" s="592"/>
      <c r="K344" s="660"/>
    </row>
    <row r="345" spans="1:11" ht="35.25" customHeight="1">
      <c r="A345" s="383" t="s">
        <v>882</v>
      </c>
      <c r="B345" s="247">
        <v>94965</v>
      </c>
      <c r="C345" s="355" t="s">
        <v>365</v>
      </c>
      <c r="D345" s="320" t="s">
        <v>49</v>
      </c>
      <c r="E345" s="1959">
        <v>391.29</v>
      </c>
      <c r="F345" s="353">
        <f t="shared" si="47"/>
        <v>0.81</v>
      </c>
      <c r="G345" s="952">
        <v>0.81699999999999995</v>
      </c>
      <c r="H345" s="354">
        <f t="shared" si="48"/>
        <v>478.27</v>
      </c>
      <c r="I345" s="171">
        <f t="shared" si="49"/>
        <v>387.39</v>
      </c>
      <c r="J345" s="592"/>
      <c r="K345" s="660"/>
    </row>
    <row r="346" spans="1:11" ht="30.75" customHeight="1">
      <c r="A346" s="383" t="s">
        <v>883</v>
      </c>
      <c r="B346" s="247">
        <v>92874</v>
      </c>
      <c r="C346" s="288" t="s">
        <v>366</v>
      </c>
      <c r="D346" s="320" t="s">
        <v>49</v>
      </c>
      <c r="E346" s="1959">
        <v>26.68</v>
      </c>
      <c r="F346" s="353">
        <f t="shared" si="47"/>
        <v>0.82</v>
      </c>
      <c r="G346" s="952">
        <v>0.82</v>
      </c>
      <c r="H346" s="354">
        <f t="shared" si="48"/>
        <v>32.61</v>
      </c>
      <c r="I346" s="171">
        <f t="shared" si="49"/>
        <v>26.74</v>
      </c>
      <c r="J346" s="592"/>
      <c r="K346" s="660"/>
    </row>
    <row r="347" spans="1:11" ht="48.75" customHeight="1" thickBot="1">
      <c r="A347" s="1902" t="s">
        <v>884</v>
      </c>
      <c r="B347" s="1903">
        <v>87893</v>
      </c>
      <c r="C347" s="1904" t="s">
        <v>1595</v>
      </c>
      <c r="D347" s="1905" t="s">
        <v>48</v>
      </c>
      <c r="E347" s="963">
        <v>5.59</v>
      </c>
      <c r="F347" s="965">
        <f t="shared" si="47"/>
        <v>0.75</v>
      </c>
      <c r="G347" s="1891">
        <v>0.754</v>
      </c>
      <c r="H347" s="955">
        <f t="shared" si="48"/>
        <v>6.83</v>
      </c>
      <c r="I347" s="1821">
        <f t="shared" si="49"/>
        <v>5.12</v>
      </c>
      <c r="J347" s="592"/>
      <c r="K347" s="238"/>
    </row>
    <row r="348" spans="1:11" ht="28.5">
      <c r="A348" s="1906" t="s">
        <v>1615</v>
      </c>
      <c r="B348" s="1907">
        <v>97086</v>
      </c>
      <c r="C348" s="1883" t="s">
        <v>1596</v>
      </c>
      <c r="D348" s="1908" t="s">
        <v>48</v>
      </c>
      <c r="E348" s="1975">
        <v>86.39</v>
      </c>
      <c r="F348" s="1826">
        <f t="shared" si="47"/>
        <v>3.8</v>
      </c>
      <c r="G348" s="1909">
        <v>3.8010000000000002</v>
      </c>
      <c r="H348" s="1828">
        <f t="shared" si="48"/>
        <v>105.59</v>
      </c>
      <c r="I348" s="1829">
        <f t="shared" si="49"/>
        <v>401.24</v>
      </c>
      <c r="J348" s="592"/>
      <c r="K348" s="238"/>
    </row>
    <row r="349" spans="1:11" ht="42.75">
      <c r="A349" s="383" t="s">
        <v>1616</v>
      </c>
      <c r="B349" s="387">
        <v>92783</v>
      </c>
      <c r="C349" s="153" t="s">
        <v>1597</v>
      </c>
      <c r="D349" s="247" t="s">
        <v>101</v>
      </c>
      <c r="E349" s="1960">
        <v>20.170000000000002</v>
      </c>
      <c r="F349" s="353">
        <f t="shared" si="47"/>
        <v>26.6</v>
      </c>
      <c r="G349" s="952">
        <v>26.609000000000002</v>
      </c>
      <c r="H349" s="354">
        <f t="shared" si="48"/>
        <v>24.65</v>
      </c>
      <c r="I349" s="171">
        <f t="shared" si="49"/>
        <v>655.69</v>
      </c>
      <c r="J349" s="592"/>
      <c r="K349" s="238"/>
    </row>
    <row r="350" spans="1:11" ht="34.5" customHeight="1">
      <c r="A350" s="383" t="s">
        <v>1617</v>
      </c>
      <c r="B350" s="387">
        <v>6087</v>
      </c>
      <c r="C350" s="153" t="s">
        <v>1569</v>
      </c>
      <c r="D350" s="182" t="s">
        <v>57</v>
      </c>
      <c r="E350" s="1960">
        <v>96.98</v>
      </c>
      <c r="F350" s="353">
        <f t="shared" si="47"/>
        <v>1</v>
      </c>
      <c r="G350" s="952">
        <v>1</v>
      </c>
      <c r="H350" s="354">
        <f t="shared" si="48"/>
        <v>118.53</v>
      </c>
      <c r="I350" s="171">
        <f t="shared" si="49"/>
        <v>118.53</v>
      </c>
      <c r="J350" s="592"/>
      <c r="K350" s="238"/>
    </row>
    <row r="351" spans="1:11">
      <c r="A351" s="1910"/>
      <c r="B351" s="1695"/>
      <c r="C351" s="725"/>
      <c r="D351" s="1695"/>
      <c r="E351" s="1961"/>
      <c r="F351" s="1831" t="str">
        <f>IF(OR(E351&lt;=0)," ",TRUNC(G351,2))</f>
        <v xml:space="preserve"> </v>
      </c>
      <c r="G351" s="1911"/>
      <c r="H351" s="1912" t="s">
        <v>16</v>
      </c>
      <c r="I351" s="1913">
        <f>TRUNC(SUM(I341:I350),2)</f>
        <v>5530.67</v>
      </c>
      <c r="J351" s="547"/>
      <c r="K351" s="238"/>
    </row>
    <row r="352" spans="1:11" ht="30.75" customHeight="1">
      <c r="A352" s="587" t="s">
        <v>885</v>
      </c>
      <c r="B352" s="386"/>
      <c r="C352" s="589" t="s">
        <v>1483</v>
      </c>
      <c r="D352" s="724"/>
      <c r="E352" s="1976"/>
      <c r="F352" s="979"/>
      <c r="G352" s="979"/>
      <c r="H352" s="979"/>
      <c r="I352" s="726"/>
      <c r="J352" s="547"/>
      <c r="K352" s="238"/>
    </row>
    <row r="353" spans="1:12" ht="35.25" customHeight="1">
      <c r="A353" s="383" t="s">
        <v>886</v>
      </c>
      <c r="B353" s="387">
        <v>96522</v>
      </c>
      <c r="C353" s="920" t="s">
        <v>279</v>
      </c>
      <c r="D353" s="320" t="s">
        <v>49</v>
      </c>
      <c r="E353" s="1960">
        <v>111.78</v>
      </c>
      <c r="F353" s="353">
        <f t="shared" si="47"/>
        <v>19.850000000000001</v>
      </c>
      <c r="G353" s="947">
        <v>19.855</v>
      </c>
      <c r="H353" s="354">
        <f t="shared" si="48"/>
        <v>136.62</v>
      </c>
      <c r="I353" s="171">
        <f t="shared" si="49"/>
        <v>2711.9</v>
      </c>
      <c r="J353" s="547"/>
      <c r="K353" s="238"/>
    </row>
    <row r="354" spans="1:12" ht="31.5" customHeight="1">
      <c r="A354" s="383" t="s">
        <v>887</v>
      </c>
      <c r="B354" s="152">
        <v>97084</v>
      </c>
      <c r="C354" s="153" t="s">
        <v>1599</v>
      </c>
      <c r="D354" s="336" t="s">
        <v>48</v>
      </c>
      <c r="E354" s="1961">
        <v>0.5</v>
      </c>
      <c r="F354" s="353">
        <f t="shared" si="47"/>
        <v>9.02</v>
      </c>
      <c r="G354" s="1900">
        <v>9.0250000000000004</v>
      </c>
      <c r="H354" s="354">
        <f t="shared" si="48"/>
        <v>0.61</v>
      </c>
      <c r="I354" s="171">
        <f t="shared" si="49"/>
        <v>5.5</v>
      </c>
      <c r="J354" s="593"/>
      <c r="K354" s="238"/>
    </row>
    <row r="355" spans="1:12" ht="30.75" customHeight="1">
      <c r="A355" s="383" t="s">
        <v>888</v>
      </c>
      <c r="B355" s="387" t="s">
        <v>1487</v>
      </c>
      <c r="C355" s="925" t="s">
        <v>1491</v>
      </c>
      <c r="D355" s="336" t="s">
        <v>48</v>
      </c>
      <c r="E355" s="1960">
        <v>5.62</v>
      </c>
      <c r="F355" s="353">
        <f t="shared" si="47"/>
        <v>9.02</v>
      </c>
      <c r="G355" s="1900">
        <v>9.0250000000000004</v>
      </c>
      <c r="H355" s="354">
        <f t="shared" si="48"/>
        <v>6.86</v>
      </c>
      <c r="I355" s="171">
        <f t="shared" si="49"/>
        <v>61.87</v>
      </c>
      <c r="J355" s="938">
        <f>'COMP ETE'!F23</f>
        <v>5.62</v>
      </c>
      <c r="K355" s="661"/>
    </row>
    <row r="356" spans="1:12" ht="48.75" customHeight="1">
      <c r="A356" s="383" t="s">
        <v>889</v>
      </c>
      <c r="B356" s="387">
        <v>97095</v>
      </c>
      <c r="C356" s="920" t="s">
        <v>1484</v>
      </c>
      <c r="D356" s="337" t="s">
        <v>49</v>
      </c>
      <c r="E356" s="1960">
        <v>540.66999999999996</v>
      </c>
      <c r="F356" s="353">
        <f t="shared" si="47"/>
        <v>1.44</v>
      </c>
      <c r="G356" s="1900">
        <v>1.4419999999999999</v>
      </c>
      <c r="H356" s="354">
        <f t="shared" si="48"/>
        <v>660.86</v>
      </c>
      <c r="I356" s="171">
        <f t="shared" si="49"/>
        <v>951.63</v>
      </c>
      <c r="J356" s="593"/>
      <c r="K356" s="238"/>
    </row>
    <row r="357" spans="1:12" ht="49.5" customHeight="1">
      <c r="A357" s="383" t="s">
        <v>890</v>
      </c>
      <c r="B357" s="387">
        <v>92783</v>
      </c>
      <c r="C357" s="920" t="s">
        <v>1485</v>
      </c>
      <c r="D357" s="336" t="s">
        <v>101</v>
      </c>
      <c r="E357" s="1960">
        <v>20.170000000000002</v>
      </c>
      <c r="F357" s="353">
        <f t="shared" si="47"/>
        <v>75.53</v>
      </c>
      <c r="G357" s="1900">
        <v>75.53</v>
      </c>
      <c r="H357" s="354">
        <f t="shared" si="48"/>
        <v>24.65</v>
      </c>
      <c r="I357" s="171">
        <f t="shared" si="49"/>
        <v>1861.81</v>
      </c>
      <c r="J357" s="593"/>
      <c r="K357" s="661" t="s">
        <v>1486</v>
      </c>
    </row>
    <row r="358" spans="1:12" ht="45.75" customHeight="1">
      <c r="A358" s="383" t="s">
        <v>891</v>
      </c>
      <c r="B358" s="247">
        <v>92522</v>
      </c>
      <c r="C358" s="153" t="s">
        <v>1296</v>
      </c>
      <c r="D358" s="247" t="s">
        <v>48</v>
      </c>
      <c r="E358" s="1959">
        <v>21.5</v>
      </c>
      <c r="F358" s="353">
        <f t="shared" si="47"/>
        <v>5.39</v>
      </c>
      <c r="G358" s="1914">
        <v>5.39</v>
      </c>
      <c r="H358" s="354">
        <f t="shared" si="48"/>
        <v>26.27</v>
      </c>
      <c r="I358" s="171">
        <f t="shared" si="49"/>
        <v>141.59</v>
      </c>
      <c r="J358" s="593"/>
      <c r="K358" s="238"/>
    </row>
    <row r="359" spans="1:12" ht="20.25" customHeight="1">
      <c r="A359" s="383" t="s">
        <v>892</v>
      </c>
      <c r="B359" s="152">
        <v>96995</v>
      </c>
      <c r="C359" s="730" t="s">
        <v>358</v>
      </c>
      <c r="D359" s="320" t="s">
        <v>49</v>
      </c>
      <c r="E359" s="1958">
        <v>37.53</v>
      </c>
      <c r="F359" s="353">
        <f t="shared" si="47"/>
        <v>7.77</v>
      </c>
      <c r="G359" s="1914">
        <v>7.77</v>
      </c>
      <c r="H359" s="354">
        <f t="shared" si="48"/>
        <v>45.87</v>
      </c>
      <c r="I359" s="171">
        <f t="shared" si="49"/>
        <v>356.4</v>
      </c>
      <c r="J359" s="547"/>
      <c r="K359" s="238"/>
    </row>
    <row r="360" spans="1:12" ht="61.5" customHeight="1">
      <c r="A360" s="383" t="s">
        <v>893</v>
      </c>
      <c r="B360" s="247">
        <v>89978</v>
      </c>
      <c r="C360" s="153" t="s">
        <v>1300</v>
      </c>
      <c r="D360" s="247" t="s">
        <v>48</v>
      </c>
      <c r="E360" s="1961">
        <v>74.61</v>
      </c>
      <c r="F360" s="353">
        <f t="shared" si="47"/>
        <v>18.7</v>
      </c>
      <c r="G360" s="1900">
        <v>18.7</v>
      </c>
      <c r="H360" s="354">
        <f t="shared" si="48"/>
        <v>91.19</v>
      </c>
      <c r="I360" s="171">
        <f t="shared" si="49"/>
        <v>1705.25</v>
      </c>
      <c r="J360" s="547"/>
      <c r="K360" s="661" t="s">
        <v>1489</v>
      </c>
    </row>
    <row r="361" spans="1:12" ht="48.75" customHeight="1">
      <c r="A361" s="383" t="s">
        <v>894</v>
      </c>
      <c r="B361" s="387">
        <v>87893</v>
      </c>
      <c r="C361" s="920" t="s">
        <v>1600</v>
      </c>
      <c r="D361" s="336" t="s">
        <v>48</v>
      </c>
      <c r="E361" s="1961">
        <v>5.59</v>
      </c>
      <c r="F361" s="353">
        <f t="shared" si="47"/>
        <v>24.95</v>
      </c>
      <c r="G361" s="1900">
        <v>24.95</v>
      </c>
      <c r="H361" s="354">
        <f t="shared" si="48"/>
        <v>6.83</v>
      </c>
      <c r="I361" s="171">
        <f t="shared" si="49"/>
        <v>170.4</v>
      </c>
      <c r="J361" s="412"/>
      <c r="K361" s="2047"/>
      <c r="L361" s="2047"/>
    </row>
    <row r="362" spans="1:12" ht="28.5">
      <c r="A362" s="383" t="s">
        <v>895</v>
      </c>
      <c r="B362" s="387">
        <v>98115</v>
      </c>
      <c r="C362" s="153" t="s">
        <v>1569</v>
      </c>
      <c r="D362" s="182" t="s">
        <v>57</v>
      </c>
      <c r="E362" s="1960">
        <v>96.98</v>
      </c>
      <c r="F362" s="353">
        <f t="shared" ref="F362" si="50">IF(OR(E362&lt;=0)," ",TRUNC(G362,2))</f>
        <v>4</v>
      </c>
      <c r="G362" s="952">
        <v>4</v>
      </c>
      <c r="H362" s="354">
        <f t="shared" si="48"/>
        <v>118.53</v>
      </c>
      <c r="I362" s="171">
        <f t="shared" si="49"/>
        <v>474.12</v>
      </c>
      <c r="J362" s="936"/>
      <c r="K362" s="594"/>
    </row>
    <row r="363" spans="1:12" ht="17.25" customHeight="1">
      <c r="A363" s="383" t="s">
        <v>896</v>
      </c>
      <c r="B363" s="334" t="s">
        <v>1488</v>
      </c>
      <c r="C363" s="920" t="s">
        <v>2392</v>
      </c>
      <c r="D363" s="336" t="s">
        <v>57</v>
      </c>
      <c r="E363" s="1961">
        <v>25.4</v>
      </c>
      <c r="F363" s="353">
        <f t="shared" si="47"/>
        <v>5.0999999999999996</v>
      </c>
      <c r="G363" s="1900">
        <v>5.0999999999999996</v>
      </c>
      <c r="H363" s="354">
        <f t="shared" si="48"/>
        <v>31.04</v>
      </c>
      <c r="I363" s="171">
        <f t="shared" si="49"/>
        <v>158.30000000000001</v>
      </c>
      <c r="J363" s="573">
        <f>'COMP ETE'!F39</f>
        <v>25.4</v>
      </c>
      <c r="K363" s="413" t="s">
        <v>2398</v>
      </c>
    </row>
    <row r="364" spans="1:12" ht="15.75" customHeight="1">
      <c r="A364" s="383" t="s">
        <v>897</v>
      </c>
      <c r="B364" s="387" t="s">
        <v>398</v>
      </c>
      <c r="C364" s="153" t="s">
        <v>397</v>
      </c>
      <c r="D364" s="337" t="s">
        <v>49</v>
      </c>
      <c r="E364" s="1961">
        <v>123.12</v>
      </c>
      <c r="F364" s="353">
        <f t="shared" si="47"/>
        <v>1.36</v>
      </c>
      <c r="G364" s="1900">
        <v>1.36</v>
      </c>
      <c r="H364" s="354">
        <f t="shared" si="48"/>
        <v>150.47999999999999</v>
      </c>
      <c r="I364" s="171">
        <f t="shared" si="49"/>
        <v>204.65</v>
      </c>
      <c r="J364" s="547"/>
      <c r="K364" s="413"/>
    </row>
    <row r="365" spans="1:12" ht="15.75" thickBot="1">
      <c r="A365" s="379"/>
      <c r="B365" s="175"/>
      <c r="C365" s="1915"/>
      <c r="D365" s="175"/>
      <c r="E365" s="1964"/>
      <c r="F365" s="965" t="str">
        <f>IF(OR(E365&lt;=0)," ",TRUNC(G365,2))</f>
        <v xml:space="preserve"> </v>
      </c>
      <c r="G365" s="1916"/>
      <c r="H365" s="956" t="s">
        <v>16</v>
      </c>
      <c r="I365" s="178">
        <f>TRUNC(SUM(I353:I364),2)</f>
        <v>8803.42</v>
      </c>
      <c r="J365" s="547"/>
      <c r="K365" s="238"/>
    </row>
    <row r="366" spans="1:12">
      <c r="A366" s="622">
        <v>16</v>
      </c>
      <c r="B366" s="623"/>
      <c r="C366" s="624" t="s">
        <v>1576</v>
      </c>
      <c r="D366" s="625"/>
      <c r="E366" s="1977"/>
      <c r="F366" s="958"/>
      <c r="G366" s="959"/>
      <c r="H366" s="959"/>
      <c r="I366" s="628"/>
      <c r="J366" s="482"/>
      <c r="K366" s="131"/>
    </row>
    <row r="367" spans="1:12" ht="28.5">
      <c r="A367" s="207" t="s">
        <v>153</v>
      </c>
      <c r="B367" s="596" t="s">
        <v>1572</v>
      </c>
      <c r="C367" s="251" t="s">
        <v>1571</v>
      </c>
      <c r="D367" s="168" t="s">
        <v>48</v>
      </c>
      <c r="E367" s="1959">
        <v>541.64</v>
      </c>
      <c r="F367" s="353">
        <f>IF(OR(E367&lt;=0)," ",TRUNC(G367,2))</f>
        <v>2.4</v>
      </c>
      <c r="G367" s="947">
        <v>2.4</v>
      </c>
      <c r="H367" s="354">
        <f>IF(OR(E367&lt;=0)," ",TRUNC((E367*(1+$I$9)),2))</f>
        <v>662.04</v>
      </c>
      <c r="I367" s="171">
        <f>IF(OR(E367&lt;=0)," ",TRUNC((H367*F367),2))</f>
        <v>1588.89</v>
      </c>
      <c r="J367" s="885">
        <f>'COMP CIVIL'!F452</f>
        <v>541.64</v>
      </c>
      <c r="K367" s="683"/>
    </row>
    <row r="368" spans="1:12" ht="33" customHeight="1">
      <c r="A368" s="207" t="s">
        <v>1577</v>
      </c>
      <c r="B368" s="596">
        <v>100862</v>
      </c>
      <c r="C368" s="153" t="s">
        <v>1581</v>
      </c>
      <c r="D368" s="336" t="s">
        <v>57</v>
      </c>
      <c r="E368" s="1959">
        <v>38.42</v>
      </c>
      <c r="F368" s="939">
        <f>IF(OR(E368&lt;=0)," ",TRUNC(G368,2))</f>
        <v>4</v>
      </c>
      <c r="G368" s="947">
        <v>4</v>
      </c>
      <c r="H368" s="354">
        <f>IF(OR(E368&lt;=0)," ",TRUNC((E368*(1+$I$9)),2))</f>
        <v>46.96</v>
      </c>
      <c r="I368" s="171">
        <f>IF(OR(E368&lt;=0)," ",TRUNC((H368*F368),2))</f>
        <v>187.84</v>
      </c>
      <c r="J368" s="885"/>
      <c r="K368" s="683"/>
    </row>
    <row r="369" spans="1:11" ht="31.5" customHeight="1">
      <c r="A369" s="207" t="s">
        <v>180</v>
      </c>
      <c r="B369" s="596" t="s">
        <v>1578</v>
      </c>
      <c r="C369" s="251" t="s">
        <v>1223</v>
      </c>
      <c r="D369" s="168" t="s">
        <v>56</v>
      </c>
      <c r="E369" s="1959">
        <v>67.42</v>
      </c>
      <c r="F369" s="939">
        <f>IF(OR(E369&lt;=0)," ",TRUNC(G369,2))</f>
        <v>7</v>
      </c>
      <c r="G369" s="947">
        <v>7</v>
      </c>
      <c r="H369" s="603">
        <f>IF(OR(E369&lt;=0)," ",TRUNC((E369*(1+$I$9)),2))</f>
        <v>82.4</v>
      </c>
      <c r="I369" s="210">
        <f>IF(OR(E369&lt;=0)," ",TRUNC((H369*F369),2))</f>
        <v>576.79999999999995</v>
      </c>
      <c r="J369" s="885">
        <f>'COMP CIVIL'!F465</f>
        <v>67.42</v>
      </c>
      <c r="K369" s="943"/>
    </row>
    <row r="370" spans="1:11" ht="20.25" customHeight="1">
      <c r="A370" s="207" t="s">
        <v>993</v>
      </c>
      <c r="B370" s="596" t="s">
        <v>1579</v>
      </c>
      <c r="C370" s="251" t="s">
        <v>1582</v>
      </c>
      <c r="D370" s="327" t="s">
        <v>48</v>
      </c>
      <c r="E370" s="1978">
        <v>261.08</v>
      </c>
      <c r="F370" s="939">
        <f>IF(OR(E370&lt;=0)," ",TRUNC(G370,2))</f>
        <v>0.03</v>
      </c>
      <c r="G370" s="980">
        <v>3.5999999999999997E-2</v>
      </c>
      <c r="H370" s="603">
        <f>IF(OR(E370&lt;=0)," ",TRUNC((E370*(1+$I$9)),2))</f>
        <v>319.11</v>
      </c>
      <c r="I370" s="210">
        <f>IF(OR(E370&lt;=0)," ",TRUNC((H370*F370),2))</f>
        <v>9.57</v>
      </c>
      <c r="J370" s="885">
        <f>'COMP CIVIL'!F480</f>
        <v>261.08</v>
      </c>
      <c r="K370" s="683"/>
    </row>
    <row r="371" spans="1:11" ht="47.25" customHeight="1">
      <c r="A371" s="207" t="s">
        <v>1587</v>
      </c>
      <c r="B371" s="739">
        <v>102253</v>
      </c>
      <c r="C371" s="153" t="s">
        <v>1580</v>
      </c>
      <c r="D371" s="336" t="s">
        <v>48</v>
      </c>
      <c r="E371" s="1978">
        <v>573.52</v>
      </c>
      <c r="F371" s="939">
        <f t="shared" ref="F371:F372" si="51">IF(OR(E371&lt;=0)," ",TRUNC(G371,2))</f>
        <v>6.34</v>
      </c>
      <c r="G371" s="948">
        <v>6.34</v>
      </c>
      <c r="H371" s="603">
        <f>IF(OR(E371&lt;=0)," ",TRUNC((E371*(1+$I$9)),2))</f>
        <v>701.01</v>
      </c>
      <c r="I371" s="210">
        <f t="shared" ref="I371:I372" si="52">IF(OR(E371&lt;=0)," ",TRUNC((H371*F371),2))</f>
        <v>4444.3999999999996</v>
      </c>
      <c r="J371" s="296"/>
      <c r="K371" s="683"/>
    </row>
    <row r="372" spans="1:11">
      <c r="A372" s="207" t="s">
        <v>1588</v>
      </c>
      <c r="B372" s="152" t="s">
        <v>1240</v>
      </c>
      <c r="C372" s="153" t="s">
        <v>633</v>
      </c>
      <c r="D372" s="327" t="s">
        <v>48</v>
      </c>
      <c r="E372" s="1959">
        <v>546.01</v>
      </c>
      <c r="F372" s="939">
        <f t="shared" si="51"/>
        <v>0.42</v>
      </c>
      <c r="G372" s="948">
        <v>0.42</v>
      </c>
      <c r="H372" s="603">
        <f t="shared" ref="H372" si="53">IF(OR(E372&lt;=0)," ",TRUNC((E372*(1+$I$9)),2))</f>
        <v>667.38</v>
      </c>
      <c r="I372" s="210">
        <f t="shared" si="52"/>
        <v>280.29000000000002</v>
      </c>
      <c r="J372" s="885">
        <f>'COMP CIVIL'!F439</f>
        <v>546.01</v>
      </c>
      <c r="K372" s="683"/>
    </row>
    <row r="373" spans="1:11" ht="15.75" thickBot="1">
      <c r="A373" s="172"/>
      <c r="B373" s="175"/>
      <c r="C373" s="175"/>
      <c r="D373" s="175"/>
      <c r="E373" s="1964"/>
      <c r="F373" s="954"/>
      <c r="G373" s="955"/>
      <c r="H373" s="956" t="s">
        <v>16</v>
      </c>
      <c r="I373" s="178">
        <f>TRUNC(SUM(I367:I372),2)</f>
        <v>7087.79</v>
      </c>
      <c r="J373" s="296"/>
      <c r="K373" s="683"/>
    </row>
    <row r="374" spans="1:11" ht="16.5" customHeight="1" thickBot="1">
      <c r="A374" s="622">
        <v>17</v>
      </c>
      <c r="B374" s="623"/>
      <c r="C374" s="1120" t="s">
        <v>1675</v>
      </c>
      <c r="D374" s="229"/>
      <c r="E374" s="1979"/>
      <c r="F374" s="981" t="str">
        <f>IF(OR(E374&lt;=0)," ",TRUNC(G374,2))</f>
        <v xml:space="preserve"> </v>
      </c>
      <c r="G374" s="981"/>
      <c r="H374" s="981" t="str">
        <f>IF(OR(E374&lt;=0)," ",TRUNC((E374*(1+$I$9)),2))</f>
        <v xml:space="preserve"> </v>
      </c>
      <c r="I374" s="154" t="str">
        <f>IF(OR(E374&lt;=0)," ",TRUNC((H374*F374),2))</f>
        <v xml:space="preserve"> </v>
      </c>
      <c r="J374" s="551"/>
      <c r="K374" s="131"/>
    </row>
    <row r="375" spans="1:11" ht="14.25" customHeight="1">
      <c r="A375" s="1941" t="s">
        <v>181</v>
      </c>
      <c r="B375" s="1942"/>
      <c r="C375" s="1943" t="s">
        <v>586</v>
      </c>
      <c r="D375" s="1944"/>
      <c r="E375" s="1973"/>
      <c r="F375" s="1945"/>
      <c r="G375" s="1946"/>
      <c r="H375" s="1947"/>
      <c r="I375" s="1948"/>
      <c r="J375" s="732" t="s">
        <v>920</v>
      </c>
      <c r="K375" s="131"/>
    </row>
    <row r="376" spans="1:11" ht="28.5">
      <c r="A376" s="207" t="s">
        <v>967</v>
      </c>
      <c r="B376" s="1949">
        <v>96527</v>
      </c>
      <c r="C376" s="153" t="s">
        <v>587</v>
      </c>
      <c r="D376" s="1939" t="s">
        <v>49</v>
      </c>
      <c r="E376" s="1961">
        <v>93.72</v>
      </c>
      <c r="F376" s="601">
        <f>IF(OR(E376&lt;=0)," ",TRUNC(G376,2))</f>
        <v>14.85</v>
      </c>
      <c r="G376" s="1698">
        <v>14.85</v>
      </c>
      <c r="H376" s="1832">
        <f t="shared" ref="H376:H408" si="54">IF(OR(E376&lt;=0)," ",TRUNC((E376*(1+$I$9)),2))</f>
        <v>114.55</v>
      </c>
      <c r="I376" s="1697">
        <f t="shared" ref="I376:I388" si="55">IF(OR(E376&lt;=0)," ",TRUNC((H376*F376),2))</f>
        <v>1701.06</v>
      </c>
      <c r="J376" s="551"/>
      <c r="K376" s="680"/>
    </row>
    <row r="377" spans="1:11">
      <c r="A377" s="207" t="s">
        <v>968</v>
      </c>
      <c r="B377" s="152">
        <v>96995</v>
      </c>
      <c r="C377" s="153" t="s">
        <v>358</v>
      </c>
      <c r="D377" s="320" t="s">
        <v>49</v>
      </c>
      <c r="E377" s="1953">
        <v>37.53</v>
      </c>
      <c r="F377" s="601">
        <f>IF(OR(E377&lt;=0)," ",TRUNC(G377,2))</f>
        <v>10.8</v>
      </c>
      <c r="G377" s="1698">
        <v>10.8</v>
      </c>
      <c r="H377" s="1832">
        <f t="shared" si="54"/>
        <v>45.87</v>
      </c>
      <c r="I377" s="1697">
        <f t="shared" si="55"/>
        <v>495.39</v>
      </c>
      <c r="J377" s="551"/>
      <c r="K377" s="680"/>
    </row>
    <row r="378" spans="1:11" ht="28.5">
      <c r="A378" s="207" t="s">
        <v>969</v>
      </c>
      <c r="B378" s="247">
        <v>96536</v>
      </c>
      <c r="C378" s="153" t="s">
        <v>368</v>
      </c>
      <c r="D378" s="247" t="s">
        <v>48</v>
      </c>
      <c r="E378" s="1959">
        <v>50.71</v>
      </c>
      <c r="F378" s="601">
        <f t="shared" ref="F378:F388" si="56">IF(OR(E378&lt;=0)," ",TRUNC(G378,2))</f>
        <v>67.5</v>
      </c>
      <c r="G378" s="1698">
        <v>67.5</v>
      </c>
      <c r="H378" s="1832">
        <f t="shared" si="54"/>
        <v>61.98</v>
      </c>
      <c r="I378" s="1697">
        <f t="shared" si="55"/>
        <v>4183.6499999999996</v>
      </c>
      <c r="J378" s="551"/>
      <c r="K378" s="680"/>
    </row>
    <row r="379" spans="1:11" ht="28.5">
      <c r="A379" s="207" t="s">
        <v>970</v>
      </c>
      <c r="B379" s="247">
        <v>94965</v>
      </c>
      <c r="C379" s="1660" t="s">
        <v>365</v>
      </c>
      <c r="D379" s="1939" t="s">
        <v>49</v>
      </c>
      <c r="E379" s="1959">
        <v>391.29</v>
      </c>
      <c r="F379" s="601">
        <f t="shared" si="56"/>
        <v>4.05</v>
      </c>
      <c r="G379" s="1698">
        <v>4.05</v>
      </c>
      <c r="H379" s="1832">
        <f t="shared" si="54"/>
        <v>478.27</v>
      </c>
      <c r="I379" s="1697">
        <f t="shared" si="55"/>
        <v>1936.99</v>
      </c>
      <c r="J379" s="551"/>
      <c r="K379" s="680"/>
    </row>
    <row r="380" spans="1:11" ht="36" customHeight="1">
      <c r="A380" s="207" t="s">
        <v>971</v>
      </c>
      <c r="B380" s="247">
        <v>92874</v>
      </c>
      <c r="C380" s="153" t="s">
        <v>366</v>
      </c>
      <c r="D380" s="1939" t="s">
        <v>49</v>
      </c>
      <c r="E380" s="1959">
        <v>26.68</v>
      </c>
      <c r="F380" s="601">
        <f t="shared" si="56"/>
        <v>4.05</v>
      </c>
      <c r="G380" s="1698">
        <v>4.05</v>
      </c>
      <c r="H380" s="1832">
        <f t="shared" si="54"/>
        <v>32.61</v>
      </c>
      <c r="I380" s="1697">
        <f t="shared" si="55"/>
        <v>132.07</v>
      </c>
      <c r="J380" s="551"/>
      <c r="K380" s="680"/>
    </row>
    <row r="381" spans="1:11" ht="35.25" customHeight="1">
      <c r="A381" s="207" t="s">
        <v>972</v>
      </c>
      <c r="B381" s="247">
        <v>96543</v>
      </c>
      <c r="C381" s="153" t="s">
        <v>367</v>
      </c>
      <c r="D381" s="247" t="s">
        <v>101</v>
      </c>
      <c r="E381" s="1959">
        <v>20.21</v>
      </c>
      <c r="F381" s="1605">
        <f t="shared" si="56"/>
        <v>139.5</v>
      </c>
      <c r="G381" s="604">
        <v>139.5</v>
      </c>
      <c r="H381" s="1696">
        <f t="shared" si="54"/>
        <v>24.7</v>
      </c>
      <c r="I381" s="1697">
        <f t="shared" si="55"/>
        <v>3445.65</v>
      </c>
      <c r="J381" s="551"/>
      <c r="K381" s="680"/>
    </row>
    <row r="382" spans="1:11" ht="46.5" customHeight="1">
      <c r="A382" s="207" t="s">
        <v>973</v>
      </c>
      <c r="B382" s="247">
        <v>92778</v>
      </c>
      <c r="C382" s="153" t="s">
        <v>375</v>
      </c>
      <c r="D382" s="247" t="s">
        <v>101</v>
      </c>
      <c r="E382" s="1959">
        <v>17.059999999999999</v>
      </c>
      <c r="F382" s="1605">
        <f t="shared" si="56"/>
        <v>279</v>
      </c>
      <c r="G382" s="604">
        <v>279</v>
      </c>
      <c r="H382" s="1696">
        <f t="shared" si="54"/>
        <v>20.85</v>
      </c>
      <c r="I382" s="1697">
        <f t="shared" si="55"/>
        <v>5817.15</v>
      </c>
      <c r="J382" s="607"/>
      <c r="K382" s="607"/>
    </row>
    <row r="383" spans="1:11" ht="47.25" customHeight="1" thickBot="1">
      <c r="A383" s="1817" t="s">
        <v>1292</v>
      </c>
      <c r="B383" s="175">
        <v>98562</v>
      </c>
      <c r="C383" s="1904" t="s">
        <v>1293</v>
      </c>
      <c r="D383" s="175" t="s">
        <v>48</v>
      </c>
      <c r="E383" s="1964">
        <v>33</v>
      </c>
      <c r="F383" s="1940">
        <f t="shared" si="56"/>
        <v>83.1</v>
      </c>
      <c r="G383" s="1876">
        <v>83.1</v>
      </c>
      <c r="H383" s="1890">
        <f t="shared" si="54"/>
        <v>40.33</v>
      </c>
      <c r="I383" s="1821">
        <f t="shared" si="55"/>
        <v>3351.42</v>
      </c>
      <c r="J383" s="607"/>
      <c r="K383" s="607"/>
    </row>
    <row r="384" spans="1:11" ht="16.5" customHeight="1">
      <c r="A384" s="1929" t="s">
        <v>340</v>
      </c>
      <c r="B384" s="588"/>
      <c r="C384" s="1930" t="s">
        <v>1609</v>
      </c>
      <c r="D384" s="1931"/>
      <c r="E384" s="1974"/>
      <c r="F384" s="1932"/>
      <c r="G384" s="977"/>
      <c r="H384" s="1933"/>
      <c r="I384" s="1934"/>
      <c r="J384" s="732"/>
      <c r="K384" s="131"/>
    </row>
    <row r="385" spans="1:12" ht="33.75" customHeight="1">
      <c r="A385" s="207" t="s">
        <v>974</v>
      </c>
      <c r="B385" s="247">
        <v>96534</v>
      </c>
      <c r="C385" s="153" t="s">
        <v>589</v>
      </c>
      <c r="D385" s="247" t="s">
        <v>48</v>
      </c>
      <c r="E385" s="1978">
        <v>59.67</v>
      </c>
      <c r="F385" s="605">
        <f t="shared" si="56"/>
        <v>66.150000000000006</v>
      </c>
      <c r="G385" s="602">
        <v>66.150000000000006</v>
      </c>
      <c r="H385" s="606">
        <f t="shared" si="54"/>
        <v>72.930000000000007</v>
      </c>
      <c r="I385" s="210">
        <f t="shared" si="55"/>
        <v>4824.3100000000004</v>
      </c>
      <c r="J385" s="551"/>
      <c r="K385" s="609"/>
    </row>
    <row r="386" spans="1:12" ht="35.25" customHeight="1">
      <c r="A386" s="207" t="s">
        <v>975</v>
      </c>
      <c r="B386" s="247">
        <v>94965</v>
      </c>
      <c r="C386" s="847" t="s">
        <v>365</v>
      </c>
      <c r="D386" s="597" t="s">
        <v>49</v>
      </c>
      <c r="E386" s="1959">
        <v>391.29</v>
      </c>
      <c r="F386" s="605">
        <f t="shared" si="56"/>
        <v>5.63</v>
      </c>
      <c r="G386" s="602">
        <v>5.63</v>
      </c>
      <c r="H386" s="606">
        <f t="shared" si="54"/>
        <v>478.27</v>
      </c>
      <c r="I386" s="210">
        <f t="shared" si="55"/>
        <v>2692.66</v>
      </c>
      <c r="J386" s="551"/>
      <c r="K386" s="609"/>
    </row>
    <row r="387" spans="1:12" ht="33" customHeight="1">
      <c r="A387" s="207" t="s">
        <v>976</v>
      </c>
      <c r="B387" s="247">
        <v>92874</v>
      </c>
      <c r="C387" s="153" t="s">
        <v>366</v>
      </c>
      <c r="D387" s="597" t="s">
        <v>49</v>
      </c>
      <c r="E387" s="1959">
        <v>26.68</v>
      </c>
      <c r="F387" s="605">
        <f t="shared" si="56"/>
        <v>5.63</v>
      </c>
      <c r="G387" s="602">
        <v>5.63</v>
      </c>
      <c r="H387" s="606">
        <f t="shared" si="54"/>
        <v>32.61</v>
      </c>
      <c r="I387" s="210">
        <f t="shared" si="55"/>
        <v>183.59</v>
      </c>
      <c r="J387" s="551"/>
      <c r="K387" s="609"/>
    </row>
    <row r="388" spans="1:12" ht="35.25" customHeight="1" thickBot="1">
      <c r="A388" s="1917" t="s">
        <v>977</v>
      </c>
      <c r="B388" s="1695">
        <v>96543</v>
      </c>
      <c r="C388" s="1918" t="s">
        <v>590</v>
      </c>
      <c r="D388" s="1919" t="s">
        <v>101</v>
      </c>
      <c r="E388" s="1961">
        <v>20.21</v>
      </c>
      <c r="F388" s="1920">
        <f t="shared" si="56"/>
        <v>92.35</v>
      </c>
      <c r="G388" s="1698">
        <v>92.35</v>
      </c>
      <c r="H388" s="1696">
        <f t="shared" si="54"/>
        <v>24.7</v>
      </c>
      <c r="I388" s="1697">
        <f t="shared" si="55"/>
        <v>2281.04</v>
      </c>
      <c r="J388" s="551"/>
      <c r="K388" s="607">
        <f>SUM(I385:J388)</f>
        <v>9981.6</v>
      </c>
    </row>
    <row r="389" spans="1:12" ht="14.25" customHeight="1" thickBot="1">
      <c r="A389" s="1921" t="s">
        <v>399</v>
      </c>
      <c r="B389" s="1922"/>
      <c r="C389" s="1923" t="s">
        <v>1290</v>
      </c>
      <c r="D389" s="1924"/>
      <c r="E389" s="1980"/>
      <c r="F389" s="1925"/>
      <c r="G389" s="1926"/>
      <c r="H389" s="1927"/>
      <c r="I389" s="1928"/>
      <c r="J389" s="732"/>
      <c r="K389" s="131"/>
    </row>
    <row r="390" spans="1:12" ht="36" customHeight="1">
      <c r="A390" s="1822" t="s">
        <v>978</v>
      </c>
      <c r="B390" s="1935">
        <v>101173</v>
      </c>
      <c r="C390" s="1883" t="s">
        <v>591</v>
      </c>
      <c r="D390" s="1935" t="s">
        <v>56</v>
      </c>
      <c r="E390" s="1971">
        <v>55.25</v>
      </c>
      <c r="F390" s="1936">
        <f t="shared" ref="F390:F408" si="57">IF(OR(E390&lt;=0)," ",TRUNC(G390,2))</f>
        <v>63</v>
      </c>
      <c r="G390" s="1937">
        <v>63</v>
      </c>
      <c r="H390" s="1938">
        <f t="shared" si="54"/>
        <v>67.53</v>
      </c>
      <c r="I390" s="1887">
        <f t="shared" ref="I390:I408" si="58">IF(OR(E390&lt;=0)," ",TRUNC((H390*F390),2))</f>
        <v>4254.3900000000003</v>
      </c>
      <c r="J390" s="551"/>
      <c r="K390" s="681" t="s">
        <v>605</v>
      </c>
      <c r="L390" s="682" t="s">
        <v>606</v>
      </c>
    </row>
    <row r="391" spans="1:12" ht="35.25" customHeight="1">
      <c r="A391" s="207" t="s">
        <v>979</v>
      </c>
      <c r="B391" s="247">
        <v>94965</v>
      </c>
      <c r="C391" s="1660" t="s">
        <v>365</v>
      </c>
      <c r="D391" s="1939" t="s">
        <v>49</v>
      </c>
      <c r="E391" s="1959">
        <v>391.29</v>
      </c>
      <c r="F391" s="1605">
        <f t="shared" si="57"/>
        <v>1.98</v>
      </c>
      <c r="G391" s="1698">
        <v>1.98</v>
      </c>
      <c r="H391" s="1696">
        <f t="shared" si="54"/>
        <v>478.27</v>
      </c>
      <c r="I391" s="1697">
        <f t="shared" si="58"/>
        <v>946.97</v>
      </c>
      <c r="J391" s="551"/>
      <c r="K391" s="131"/>
    </row>
    <row r="392" spans="1:12" ht="33" customHeight="1">
      <c r="A392" s="207" t="s">
        <v>980</v>
      </c>
      <c r="B392" s="247">
        <v>92874</v>
      </c>
      <c r="C392" s="153" t="s">
        <v>366</v>
      </c>
      <c r="D392" s="1939" t="s">
        <v>49</v>
      </c>
      <c r="E392" s="1959">
        <v>26.68</v>
      </c>
      <c r="F392" s="1605">
        <f t="shared" si="57"/>
        <v>1.98</v>
      </c>
      <c r="G392" s="1698">
        <v>1.98</v>
      </c>
      <c r="H392" s="1696">
        <f t="shared" si="54"/>
        <v>32.61</v>
      </c>
      <c r="I392" s="1697">
        <f t="shared" si="58"/>
        <v>64.56</v>
      </c>
      <c r="J392" s="551"/>
      <c r="K392" s="131"/>
    </row>
    <row r="393" spans="1:12" ht="33.75" customHeight="1">
      <c r="A393" s="207" t="s">
        <v>981</v>
      </c>
      <c r="B393" s="945">
        <v>95583</v>
      </c>
      <c r="C393" s="153" t="s">
        <v>592</v>
      </c>
      <c r="D393" s="336" t="s">
        <v>101</v>
      </c>
      <c r="E393" s="1961">
        <v>18.93</v>
      </c>
      <c r="F393" s="1605">
        <f t="shared" si="57"/>
        <v>50.35</v>
      </c>
      <c r="G393" s="1698">
        <v>50.35</v>
      </c>
      <c r="H393" s="1696">
        <f t="shared" si="54"/>
        <v>23.13</v>
      </c>
      <c r="I393" s="1697">
        <f t="shared" si="58"/>
        <v>1164.5899999999999</v>
      </c>
      <c r="J393" s="551"/>
      <c r="K393" s="131"/>
    </row>
    <row r="394" spans="1:12" ht="32.25" customHeight="1" thickBot="1">
      <c r="A394" s="1817" t="s">
        <v>982</v>
      </c>
      <c r="B394" s="175">
        <v>95577</v>
      </c>
      <c r="C394" s="1904" t="s">
        <v>593</v>
      </c>
      <c r="D394" s="1905" t="s">
        <v>101</v>
      </c>
      <c r="E394" s="1964">
        <v>16.23</v>
      </c>
      <c r="F394" s="1940">
        <f t="shared" si="57"/>
        <v>239.1</v>
      </c>
      <c r="G394" s="1877">
        <v>239.1</v>
      </c>
      <c r="H394" s="1890">
        <f t="shared" si="54"/>
        <v>19.829999999999998</v>
      </c>
      <c r="I394" s="1821">
        <f t="shared" si="58"/>
        <v>4741.3500000000004</v>
      </c>
      <c r="J394" s="607"/>
      <c r="K394" s="607"/>
    </row>
    <row r="395" spans="1:12" ht="14.25" customHeight="1">
      <c r="A395" s="1929" t="s">
        <v>584</v>
      </c>
      <c r="B395" s="588"/>
      <c r="C395" s="1930" t="s">
        <v>1676</v>
      </c>
      <c r="D395" s="1931"/>
      <c r="E395" s="1974"/>
      <c r="F395" s="1932" t="str">
        <f t="shared" si="57"/>
        <v xml:space="preserve"> </v>
      </c>
      <c r="G395" s="977"/>
      <c r="H395" s="1933" t="str">
        <f t="shared" si="54"/>
        <v xml:space="preserve"> </v>
      </c>
      <c r="I395" s="1934" t="str">
        <f t="shared" si="58"/>
        <v xml:space="preserve"> </v>
      </c>
      <c r="J395" s="732"/>
      <c r="K395" s="131"/>
    </row>
    <row r="396" spans="1:12" ht="62.25" customHeight="1">
      <c r="A396" s="207" t="s">
        <v>983</v>
      </c>
      <c r="B396" s="247">
        <v>92427</v>
      </c>
      <c r="C396" s="153" t="s">
        <v>594</v>
      </c>
      <c r="D396" s="247" t="s">
        <v>48</v>
      </c>
      <c r="E396" s="1978">
        <v>46.3</v>
      </c>
      <c r="F396" s="605">
        <f t="shared" si="57"/>
        <v>101.25</v>
      </c>
      <c r="G396" s="602">
        <v>101.25</v>
      </c>
      <c r="H396" s="606">
        <f t="shared" si="54"/>
        <v>56.59</v>
      </c>
      <c r="I396" s="210">
        <f t="shared" si="58"/>
        <v>5729.73</v>
      </c>
      <c r="J396" s="551"/>
      <c r="K396" s="131"/>
    </row>
    <row r="397" spans="1:12" ht="36.75" customHeight="1">
      <c r="A397" s="207" t="s">
        <v>984</v>
      </c>
      <c r="B397" s="247">
        <v>94965</v>
      </c>
      <c r="C397" s="847" t="s">
        <v>365</v>
      </c>
      <c r="D397" s="597" t="s">
        <v>49</v>
      </c>
      <c r="E397" s="1959">
        <v>391.29</v>
      </c>
      <c r="F397" s="605">
        <f t="shared" si="57"/>
        <v>5.4</v>
      </c>
      <c r="G397" s="602">
        <v>5.4</v>
      </c>
      <c r="H397" s="606">
        <f t="shared" si="54"/>
        <v>478.27</v>
      </c>
      <c r="I397" s="210">
        <f t="shared" si="58"/>
        <v>2582.65</v>
      </c>
      <c r="J397" s="551"/>
      <c r="K397" s="131"/>
    </row>
    <row r="398" spans="1:12" ht="36.75" customHeight="1">
      <c r="A398" s="207" t="s">
        <v>985</v>
      </c>
      <c r="B398" s="247">
        <v>92874</v>
      </c>
      <c r="C398" s="153" t="s">
        <v>366</v>
      </c>
      <c r="D398" s="597" t="s">
        <v>49</v>
      </c>
      <c r="E398" s="1959">
        <v>26.68</v>
      </c>
      <c r="F398" s="605">
        <f t="shared" si="57"/>
        <v>5.4</v>
      </c>
      <c r="G398" s="602">
        <v>5.4</v>
      </c>
      <c r="H398" s="606">
        <f t="shared" si="54"/>
        <v>32.61</v>
      </c>
      <c r="I398" s="210">
        <f t="shared" si="58"/>
        <v>176.09</v>
      </c>
      <c r="J398" s="551"/>
      <c r="K398" s="131"/>
    </row>
    <row r="399" spans="1:12" ht="48" customHeight="1">
      <c r="A399" s="207" t="s">
        <v>986</v>
      </c>
      <c r="B399" s="247">
        <v>92775</v>
      </c>
      <c r="C399" s="153" t="s">
        <v>372</v>
      </c>
      <c r="D399" s="336" t="s">
        <v>101</v>
      </c>
      <c r="E399" s="1978">
        <v>20.23</v>
      </c>
      <c r="F399" s="605">
        <f t="shared" si="57"/>
        <v>117</v>
      </c>
      <c r="G399" s="602">
        <v>117</v>
      </c>
      <c r="H399" s="606">
        <f t="shared" si="54"/>
        <v>24.72</v>
      </c>
      <c r="I399" s="210">
        <f t="shared" si="58"/>
        <v>2892.24</v>
      </c>
      <c r="J399" s="551"/>
      <c r="K399" s="131"/>
    </row>
    <row r="400" spans="1:12" ht="47.25" customHeight="1">
      <c r="A400" s="207" t="s">
        <v>987</v>
      </c>
      <c r="B400" s="247">
        <v>92778</v>
      </c>
      <c r="C400" s="153" t="s">
        <v>375</v>
      </c>
      <c r="D400" s="336" t="s">
        <v>101</v>
      </c>
      <c r="E400" s="1978">
        <v>17.059999999999999</v>
      </c>
      <c r="F400" s="605">
        <f t="shared" si="57"/>
        <v>274.5</v>
      </c>
      <c r="G400" s="602">
        <v>274.5</v>
      </c>
      <c r="H400" s="606">
        <f t="shared" si="54"/>
        <v>20.85</v>
      </c>
      <c r="I400" s="210">
        <f t="shared" si="58"/>
        <v>5723.32</v>
      </c>
      <c r="J400" s="607"/>
      <c r="K400" s="607"/>
    </row>
    <row r="401" spans="1:12" ht="14.25" customHeight="1">
      <c r="A401" s="598" t="s">
        <v>898</v>
      </c>
      <c r="B401" s="386"/>
      <c r="C401" s="599" t="s">
        <v>1678</v>
      </c>
      <c r="D401" s="600"/>
      <c r="E401" s="1981"/>
      <c r="F401" s="610" t="str">
        <f t="shared" si="57"/>
        <v xml:space="preserve"> </v>
      </c>
      <c r="G401" s="608"/>
      <c r="H401" s="611" t="str">
        <f t="shared" si="54"/>
        <v xml:space="preserve"> </v>
      </c>
      <c r="I401" s="612" t="str">
        <f t="shared" si="58"/>
        <v xml:space="preserve"> </v>
      </c>
      <c r="J401" s="732" t="s">
        <v>919</v>
      </c>
      <c r="K401" s="131"/>
    </row>
    <row r="402" spans="1:12" ht="62.25" customHeight="1">
      <c r="A402" s="207" t="s">
        <v>988</v>
      </c>
      <c r="B402" s="247">
        <v>89978</v>
      </c>
      <c r="C402" s="153" t="s">
        <v>1300</v>
      </c>
      <c r="D402" s="247" t="s">
        <v>48</v>
      </c>
      <c r="E402" s="1978">
        <v>74.61</v>
      </c>
      <c r="F402" s="605">
        <f t="shared" si="57"/>
        <v>110.8</v>
      </c>
      <c r="G402" s="602">
        <v>110.8</v>
      </c>
      <c r="H402" s="606">
        <f t="shared" si="54"/>
        <v>91.19</v>
      </c>
      <c r="I402" s="210">
        <f t="shared" si="58"/>
        <v>10103.85</v>
      </c>
      <c r="J402" s="551"/>
      <c r="K402" s="681" t="s">
        <v>1677</v>
      </c>
    </row>
    <row r="403" spans="1:12" ht="47.25" customHeight="1">
      <c r="A403" s="207" t="s">
        <v>989</v>
      </c>
      <c r="B403" s="247">
        <v>87894</v>
      </c>
      <c r="C403" s="153" t="s">
        <v>1301</v>
      </c>
      <c r="D403" s="247" t="str">
        <f>$D$402</f>
        <v>m²</v>
      </c>
      <c r="E403" s="1978">
        <v>5.15</v>
      </c>
      <c r="F403" s="605">
        <f t="shared" si="57"/>
        <v>105.79</v>
      </c>
      <c r="G403" s="602">
        <v>105.79</v>
      </c>
      <c r="H403" s="606">
        <f t="shared" si="54"/>
        <v>6.29</v>
      </c>
      <c r="I403" s="210">
        <f t="shared" si="58"/>
        <v>665.41</v>
      </c>
      <c r="J403" s="846"/>
      <c r="K403" s="381"/>
    </row>
    <row r="404" spans="1:12" ht="45" customHeight="1">
      <c r="A404" s="207" t="s">
        <v>990</v>
      </c>
      <c r="B404" s="247">
        <v>87792</v>
      </c>
      <c r="C404" s="153" t="s">
        <v>596</v>
      </c>
      <c r="D404" s="247" t="s">
        <v>48</v>
      </c>
      <c r="E404" s="1978">
        <v>30.92</v>
      </c>
      <c r="F404" s="605">
        <f t="shared" si="57"/>
        <v>105.79</v>
      </c>
      <c r="G404" s="602">
        <v>105.79</v>
      </c>
      <c r="H404" s="606">
        <f t="shared" si="54"/>
        <v>37.79</v>
      </c>
      <c r="I404" s="210">
        <f t="shared" si="58"/>
        <v>3997.8</v>
      </c>
      <c r="J404" s="607"/>
      <c r="K404" s="607"/>
    </row>
    <row r="405" spans="1:12" ht="18.75" customHeight="1" thickBot="1">
      <c r="A405" s="1917" t="s">
        <v>2323</v>
      </c>
      <c r="B405" s="1695" t="s">
        <v>536</v>
      </c>
      <c r="C405" s="1918" t="s">
        <v>1008</v>
      </c>
      <c r="D405" s="1695" t="s">
        <v>48</v>
      </c>
      <c r="E405" s="1961">
        <v>652.07000000000005</v>
      </c>
      <c r="F405" s="1920">
        <f t="shared" si="57"/>
        <v>388.83</v>
      </c>
      <c r="G405" s="1698">
        <v>388.83</v>
      </c>
      <c r="H405" s="1696">
        <f t="shared" si="54"/>
        <v>797.02</v>
      </c>
      <c r="I405" s="1697">
        <f t="shared" si="58"/>
        <v>309905.28000000003</v>
      </c>
      <c r="J405" s="607">
        <f>'COMP CIVIL'!F160</f>
        <v>652.07000000000005</v>
      </c>
      <c r="K405" s="1606"/>
      <c r="L405" s="842"/>
    </row>
    <row r="406" spans="1:12" ht="14.25" customHeight="1">
      <c r="A406" s="1941" t="s">
        <v>899</v>
      </c>
      <c r="B406" s="1942"/>
      <c r="C406" s="1943" t="s">
        <v>1679</v>
      </c>
      <c r="D406" s="1944"/>
      <c r="E406" s="1973"/>
      <c r="F406" s="1945" t="str">
        <f t="shared" si="57"/>
        <v xml:space="preserve"> </v>
      </c>
      <c r="G406" s="1946"/>
      <c r="H406" s="1947" t="str">
        <f t="shared" si="54"/>
        <v xml:space="preserve"> </v>
      </c>
      <c r="I406" s="1948" t="str">
        <f t="shared" si="58"/>
        <v xml:space="preserve"> </v>
      </c>
      <c r="J406" s="732"/>
      <c r="K406" s="131"/>
    </row>
    <row r="407" spans="1:12" ht="33.75" customHeight="1" thickBot="1">
      <c r="A407" s="1817" t="s">
        <v>991</v>
      </c>
      <c r="B407" s="173">
        <v>88415</v>
      </c>
      <c r="C407" s="1904" t="s">
        <v>558</v>
      </c>
      <c r="D407" s="1819" t="s">
        <v>48</v>
      </c>
      <c r="E407" s="1964">
        <v>1.99</v>
      </c>
      <c r="F407" s="1940">
        <f t="shared" si="57"/>
        <v>105.79</v>
      </c>
      <c r="G407" s="1877">
        <v>105.79</v>
      </c>
      <c r="H407" s="1890">
        <f t="shared" si="54"/>
        <v>2.4300000000000002</v>
      </c>
      <c r="I407" s="1821">
        <f t="shared" si="58"/>
        <v>257.06</v>
      </c>
      <c r="J407" s="607"/>
      <c r="K407" s="607"/>
    </row>
    <row r="408" spans="1:12" ht="33.75" customHeight="1">
      <c r="A408" s="1950" t="s">
        <v>992</v>
      </c>
      <c r="B408" s="1935">
        <v>88489</v>
      </c>
      <c r="C408" s="1883" t="s">
        <v>113</v>
      </c>
      <c r="D408" s="1951" t="s">
        <v>48</v>
      </c>
      <c r="E408" s="1971">
        <v>11.96</v>
      </c>
      <c r="F408" s="1952">
        <f t="shared" si="57"/>
        <v>105.79</v>
      </c>
      <c r="G408" s="1937">
        <v>105.79</v>
      </c>
      <c r="H408" s="1938">
        <f t="shared" si="54"/>
        <v>14.61</v>
      </c>
      <c r="I408" s="1887">
        <f t="shared" si="58"/>
        <v>1545.59</v>
      </c>
      <c r="J408" s="607"/>
      <c r="K408" s="607"/>
    </row>
    <row r="409" spans="1:12" ht="15.75" thickBot="1">
      <c r="A409" s="379"/>
      <c r="B409" s="175"/>
      <c r="C409" s="175"/>
      <c r="D409" s="175"/>
      <c r="E409" s="1964"/>
      <c r="F409" s="954"/>
      <c r="G409" s="982"/>
      <c r="H409" s="956" t="s">
        <v>16</v>
      </c>
      <c r="I409" s="178">
        <f>SUM(I376:I408)</f>
        <v>385795.86000000004</v>
      </c>
      <c r="J409" s="551"/>
      <c r="K409" s="131"/>
    </row>
    <row r="410" spans="1:12" ht="18.75" customHeight="1">
      <c r="A410" s="208">
        <v>18</v>
      </c>
      <c r="B410" s="595"/>
      <c r="C410" s="1124" t="s">
        <v>640</v>
      </c>
      <c r="D410" s="229"/>
      <c r="E410" s="1979"/>
      <c r="F410" s="981"/>
      <c r="G410" s="981"/>
      <c r="H410" s="981"/>
      <c r="I410" s="154"/>
      <c r="J410" s="718"/>
      <c r="K410" s="131"/>
    </row>
    <row r="411" spans="1:12">
      <c r="A411" s="209" t="s">
        <v>339</v>
      </c>
      <c r="B411" s="247" t="s">
        <v>1084</v>
      </c>
      <c r="C411" s="840" t="s">
        <v>1224</v>
      </c>
      <c r="D411" s="247" t="s">
        <v>57</v>
      </c>
      <c r="E411" s="1959">
        <v>8500</v>
      </c>
      <c r="F411" s="605">
        <f t="shared" ref="F411:F417" si="59">IF(OR(E411&lt;=0)," ",TRUNC(G411,2))</f>
        <v>1</v>
      </c>
      <c r="G411" s="352">
        <v>1</v>
      </c>
      <c r="H411" s="606">
        <f t="shared" ref="H411:H417" si="60">IF(OR(E411&lt;=0)," ",TRUNC((E411*(1+$I$9)),2))</f>
        <v>10389.549999999999</v>
      </c>
      <c r="I411" s="210">
        <f t="shared" ref="I411:I417" si="61">IF(OR(E411&lt;=0)," ",TRUNC((H411*F411),2))</f>
        <v>10389.549999999999</v>
      </c>
      <c r="J411" s="203">
        <f>'COMP CIVIL'!F372</f>
        <v>8500</v>
      </c>
      <c r="K411" s="131"/>
    </row>
    <row r="412" spans="1:12">
      <c r="A412" s="209" t="s">
        <v>900</v>
      </c>
      <c r="B412" s="247" t="s">
        <v>1085</v>
      </c>
      <c r="C412" s="763" t="s">
        <v>2281</v>
      </c>
      <c r="D412" s="247" t="s">
        <v>57</v>
      </c>
      <c r="E412" s="1959">
        <v>6500</v>
      </c>
      <c r="F412" s="605">
        <f t="shared" si="59"/>
        <v>1</v>
      </c>
      <c r="G412" s="352">
        <v>1</v>
      </c>
      <c r="H412" s="606">
        <f t="shared" si="60"/>
        <v>7944.95</v>
      </c>
      <c r="I412" s="210">
        <f t="shared" si="61"/>
        <v>7944.95</v>
      </c>
      <c r="J412" s="203">
        <f>'COMP CIVIL'!F389</f>
        <v>6500</v>
      </c>
      <c r="K412" s="131"/>
    </row>
    <row r="413" spans="1:12">
      <c r="A413" s="209" t="s">
        <v>901</v>
      </c>
      <c r="B413" s="247" t="s">
        <v>1230</v>
      </c>
      <c r="C413" s="763" t="s">
        <v>2331</v>
      </c>
      <c r="D413" s="247" t="s">
        <v>57</v>
      </c>
      <c r="E413" s="1959">
        <v>9130.7199999999993</v>
      </c>
      <c r="F413" s="605">
        <f t="shared" si="59"/>
        <v>1</v>
      </c>
      <c r="G413" s="352">
        <v>1</v>
      </c>
      <c r="H413" s="606">
        <f t="shared" si="60"/>
        <v>11160.47</v>
      </c>
      <c r="I413" s="210">
        <f t="shared" si="61"/>
        <v>11160.47</v>
      </c>
      <c r="J413" s="203">
        <f>'COMP CIVIL'!F405</f>
        <v>9130.7199999999993</v>
      </c>
      <c r="K413" s="131"/>
    </row>
    <row r="414" spans="1:12" ht="47.25" customHeight="1">
      <c r="A414" s="209" t="s">
        <v>902</v>
      </c>
      <c r="B414" s="248">
        <v>92398</v>
      </c>
      <c r="C414" s="153" t="s">
        <v>1237</v>
      </c>
      <c r="D414" s="723" t="s">
        <v>48</v>
      </c>
      <c r="E414" s="1982">
        <v>69.44</v>
      </c>
      <c r="F414" s="605">
        <f t="shared" si="59"/>
        <v>283.66000000000003</v>
      </c>
      <c r="G414" s="843">
        <v>283.66000000000003</v>
      </c>
      <c r="H414" s="606">
        <f t="shared" si="60"/>
        <v>84.87</v>
      </c>
      <c r="I414" s="210">
        <f t="shared" si="61"/>
        <v>24074.22</v>
      </c>
      <c r="J414" s="837"/>
      <c r="K414" s="131"/>
    </row>
    <row r="415" spans="1:12" ht="47.25" customHeight="1">
      <c r="A415" s="209" t="s">
        <v>2495</v>
      </c>
      <c r="B415" s="247">
        <v>94994</v>
      </c>
      <c r="C415" s="153" t="s">
        <v>2494</v>
      </c>
      <c r="D415" s="759" t="s">
        <v>48</v>
      </c>
      <c r="E415" s="1982">
        <v>107.46</v>
      </c>
      <c r="F415" s="1605">
        <f t="shared" si="59"/>
        <v>890.78</v>
      </c>
      <c r="G415" s="843">
        <v>890.78</v>
      </c>
      <c r="H415" s="1696">
        <f t="shared" si="60"/>
        <v>131.34</v>
      </c>
      <c r="I415" s="1697">
        <f t="shared" si="61"/>
        <v>116995.04</v>
      </c>
      <c r="J415" s="837"/>
      <c r="K415" s="131"/>
    </row>
    <row r="416" spans="1:12" ht="28.5">
      <c r="A416" s="209" t="s">
        <v>2496</v>
      </c>
      <c r="B416" s="247">
        <v>94265</v>
      </c>
      <c r="C416" s="153" t="s">
        <v>1052</v>
      </c>
      <c r="D416" s="759" t="s">
        <v>56</v>
      </c>
      <c r="E416" s="1982">
        <v>36.700000000000003</v>
      </c>
      <c r="F416" s="605">
        <f t="shared" si="59"/>
        <v>8</v>
      </c>
      <c r="G416" s="843">
        <v>8</v>
      </c>
      <c r="H416" s="606">
        <f t="shared" si="60"/>
        <v>44.85</v>
      </c>
      <c r="I416" s="210">
        <f t="shared" si="61"/>
        <v>358.8</v>
      </c>
      <c r="J416" s="837"/>
      <c r="K416" s="131"/>
    </row>
    <row r="417" spans="1:12">
      <c r="A417" s="209" t="s">
        <v>1013</v>
      </c>
      <c r="B417" s="247" t="s">
        <v>1233</v>
      </c>
      <c r="C417" s="833" t="s">
        <v>1234</v>
      </c>
      <c r="D417" s="760" t="s">
        <v>49</v>
      </c>
      <c r="E417" s="1982">
        <v>146.26</v>
      </c>
      <c r="F417" s="605">
        <f t="shared" si="59"/>
        <v>7.43</v>
      </c>
      <c r="G417" s="843">
        <v>7.43</v>
      </c>
      <c r="H417" s="606">
        <f t="shared" si="60"/>
        <v>178.77</v>
      </c>
      <c r="I417" s="210">
        <f t="shared" si="61"/>
        <v>1328.26</v>
      </c>
      <c r="J417" s="203">
        <f>'COMP CIVIL'!F422</f>
        <v>146.26</v>
      </c>
      <c r="K417" s="131" t="s">
        <v>2461</v>
      </c>
    </row>
    <row r="418" spans="1:12">
      <c r="A418" s="209" t="s">
        <v>1014</v>
      </c>
      <c r="B418" s="247">
        <v>98504</v>
      </c>
      <c r="C418" s="835" t="s">
        <v>583</v>
      </c>
      <c r="D418" s="234" t="s">
        <v>48</v>
      </c>
      <c r="E418" s="1982">
        <v>9.6</v>
      </c>
      <c r="F418" s="601">
        <f>IF(OR(E418&lt;=0)," ",TRUNC(G418,2))</f>
        <v>142.05000000000001</v>
      </c>
      <c r="G418" s="352">
        <v>142.05000000000001</v>
      </c>
      <c r="H418" s="983">
        <f>IF(OR(E418&lt;=0)," ",TRUNC((E418*(1+$I$8)),2))</f>
        <v>9.6</v>
      </c>
      <c r="I418" s="230">
        <f>IF(OR(E418&lt;=0)," ",TRUNC((H418*F418),2))</f>
        <v>1363.68</v>
      </c>
      <c r="J418" s="837"/>
      <c r="K418" s="131" t="s">
        <v>2462</v>
      </c>
    </row>
    <row r="419" spans="1:12" ht="28.5">
      <c r="A419" s="209" t="s">
        <v>1015</v>
      </c>
      <c r="B419" s="247">
        <v>98510</v>
      </c>
      <c r="C419" s="153" t="s">
        <v>1227</v>
      </c>
      <c r="D419" s="234" t="s">
        <v>57</v>
      </c>
      <c r="E419" s="1982">
        <v>78.650000000000006</v>
      </c>
      <c r="F419" s="601">
        <f t="shared" ref="F419:F423" si="62">IF(OR(E419&lt;=0)," ",TRUNC(G419,2))</f>
        <v>15</v>
      </c>
      <c r="G419" s="843">
        <v>15</v>
      </c>
      <c r="H419" s="983">
        <f t="shared" ref="H419:H423" si="63">IF(OR(E419&lt;=0)," ",TRUNC((E419*(1+$I$8)),2))</f>
        <v>78.650000000000006</v>
      </c>
      <c r="I419" s="230">
        <f t="shared" ref="I419:I423" si="64">IF(OR(E419&lt;=0)," ",TRUNC((H419*F419),2))</f>
        <v>1179.75</v>
      </c>
      <c r="J419" s="837"/>
      <c r="K419" s="683" t="s">
        <v>2463</v>
      </c>
    </row>
    <row r="420" spans="1:12">
      <c r="A420" s="209" t="s">
        <v>1016</v>
      </c>
      <c r="B420" s="247">
        <v>98505</v>
      </c>
      <c r="C420" s="153" t="s">
        <v>1229</v>
      </c>
      <c r="D420" s="759" t="s">
        <v>48</v>
      </c>
      <c r="E420" s="1982">
        <v>79.31</v>
      </c>
      <c r="F420" s="601">
        <f t="shared" si="62"/>
        <v>15.52</v>
      </c>
      <c r="G420" s="843">
        <v>15.52</v>
      </c>
      <c r="H420" s="983">
        <f t="shared" si="63"/>
        <v>79.31</v>
      </c>
      <c r="I420" s="230">
        <f t="shared" si="64"/>
        <v>1230.8900000000001</v>
      </c>
      <c r="J420" s="837"/>
      <c r="K420" s="131" t="s">
        <v>1228</v>
      </c>
    </row>
    <row r="421" spans="1:12" ht="30.75" customHeight="1">
      <c r="A421" s="209" t="s">
        <v>2497</v>
      </c>
      <c r="B421" s="247">
        <v>101094</v>
      </c>
      <c r="C421" s="786" t="s">
        <v>1057</v>
      </c>
      <c r="D421" s="305" t="s">
        <v>56</v>
      </c>
      <c r="E421" s="1982">
        <v>134.16999999999999</v>
      </c>
      <c r="F421" s="601">
        <f t="shared" si="62"/>
        <v>226.75</v>
      </c>
      <c r="G421" s="843">
        <v>226.75</v>
      </c>
      <c r="H421" s="983">
        <f t="shared" si="63"/>
        <v>134.16999999999999</v>
      </c>
      <c r="I421" s="230">
        <f t="shared" si="64"/>
        <v>30423.040000000001</v>
      </c>
      <c r="J421" s="837"/>
      <c r="K421" s="474" t="s">
        <v>2464</v>
      </c>
    </row>
    <row r="422" spans="1:12" ht="32.25" customHeight="1">
      <c r="A422" s="209" t="s">
        <v>1017</v>
      </c>
      <c r="B422" s="247">
        <v>102513</v>
      </c>
      <c r="C422" s="153" t="s">
        <v>1239</v>
      </c>
      <c r="D422" s="760" t="s">
        <v>48</v>
      </c>
      <c r="E422" s="1959">
        <v>34.380000000000003</v>
      </c>
      <c r="F422" s="601">
        <f t="shared" si="62"/>
        <v>5.78</v>
      </c>
      <c r="G422" s="352">
        <v>5.78</v>
      </c>
      <c r="H422" s="983">
        <f t="shared" si="63"/>
        <v>34.380000000000003</v>
      </c>
      <c r="I422" s="230">
        <f t="shared" si="64"/>
        <v>198.71</v>
      </c>
      <c r="J422" s="837"/>
      <c r="K422" s="131"/>
    </row>
    <row r="423" spans="1:12" ht="31.5" customHeight="1">
      <c r="A423" s="209" t="s">
        <v>1018</v>
      </c>
      <c r="B423" s="152">
        <v>102500</v>
      </c>
      <c r="C423" s="153" t="s">
        <v>1238</v>
      </c>
      <c r="D423" s="305" t="s">
        <v>56</v>
      </c>
      <c r="E423" s="1959">
        <v>3.23</v>
      </c>
      <c r="F423" s="601">
        <f t="shared" si="62"/>
        <v>150.49</v>
      </c>
      <c r="G423" s="352">
        <v>150.49</v>
      </c>
      <c r="H423" s="983">
        <f t="shared" si="63"/>
        <v>3.23</v>
      </c>
      <c r="I423" s="230">
        <f t="shared" si="64"/>
        <v>486.08</v>
      </c>
      <c r="J423" s="837"/>
      <c r="K423" s="131"/>
    </row>
    <row r="424" spans="1:12" ht="15.75" thickBot="1">
      <c r="A424" s="384"/>
      <c r="B424" s="791"/>
      <c r="C424" s="792"/>
      <c r="D424" s="328"/>
      <c r="E424" s="1983"/>
      <c r="F424" s="971"/>
      <c r="G424" s="984"/>
      <c r="H424" s="972" t="s">
        <v>16</v>
      </c>
      <c r="I424" s="667">
        <f>TRUNC(SUM(I411:I423),2)</f>
        <v>207133.44</v>
      </c>
      <c r="J424" s="788"/>
      <c r="K424" s="131"/>
    </row>
    <row r="425" spans="1:12" ht="18" customHeight="1">
      <c r="A425" s="727">
        <v>19</v>
      </c>
      <c r="B425" s="385"/>
      <c r="C425" s="1125" t="s">
        <v>25</v>
      </c>
      <c r="D425" s="728"/>
      <c r="E425" s="1973"/>
      <c r="F425" s="985" t="str">
        <f>IF(OR(E425&lt;=0)," ",TRUNC(G425,2))</f>
        <v xml:space="preserve"> </v>
      </c>
      <c r="G425" s="985"/>
      <c r="H425" s="985" t="str">
        <f>IF(OR(E425&lt;=0)," ",TRUNC((E425*(1+$I$9)),2))</f>
        <v xml:space="preserve"> </v>
      </c>
      <c r="I425" s="729" t="str">
        <f>IF(OR(E425&lt;=0)," ",TRUNC((H425*F425),2))</f>
        <v xml:space="preserve"> </v>
      </c>
      <c r="J425" s="547"/>
      <c r="K425" s="131"/>
    </row>
    <row r="426" spans="1:12" ht="33" customHeight="1">
      <c r="A426" s="209" t="s">
        <v>585</v>
      </c>
      <c r="B426" s="185">
        <v>99803</v>
      </c>
      <c r="C426" s="701" t="s">
        <v>1589</v>
      </c>
      <c r="D426" s="234" t="s">
        <v>48</v>
      </c>
      <c r="E426" s="1978">
        <v>1.51</v>
      </c>
      <c r="F426" s="939">
        <f>IF(OR(E426&lt;=0)," ",TRUNC(G426,2))</f>
        <v>246.05</v>
      </c>
      <c r="G426" s="602">
        <v>246.05</v>
      </c>
      <c r="H426" s="603">
        <f>IF(OR(E426&lt;=0)," ",TRUNC((E426*(1+$I$9)),2))</f>
        <v>1.84</v>
      </c>
      <c r="I426" s="210">
        <f>IF(OR(E426&lt;=0)," ",TRUNC((H426*F426),2))</f>
        <v>452.73</v>
      </c>
      <c r="J426" s="547"/>
      <c r="K426" s="613"/>
    </row>
    <row r="427" spans="1:12" ht="31.5" customHeight="1">
      <c r="A427" s="209" t="s">
        <v>588</v>
      </c>
      <c r="B427" s="185">
        <v>99806</v>
      </c>
      <c r="C427" s="153" t="s">
        <v>1590</v>
      </c>
      <c r="D427" s="234" t="s">
        <v>48</v>
      </c>
      <c r="E427" s="1978">
        <v>0.62</v>
      </c>
      <c r="F427" s="939">
        <f t="shared" ref="F427:F428" si="65">IF(OR(E427&lt;=0)," ",TRUNC(G427,2))</f>
        <v>98.67</v>
      </c>
      <c r="G427" s="602">
        <v>98.67</v>
      </c>
      <c r="H427" s="603">
        <f t="shared" ref="H427:H428" si="66">IF(OR(E427&lt;=0)," ",TRUNC((E427*(1+$I$9)),2))</f>
        <v>0.75</v>
      </c>
      <c r="I427" s="210">
        <f t="shared" ref="I427:I428" si="67">IF(OR(E427&lt;=0)," ",TRUNC((H427*F427),2))</f>
        <v>74</v>
      </c>
      <c r="J427" s="414"/>
      <c r="K427" s="613"/>
    </row>
    <row r="428" spans="1:12" ht="20.25" customHeight="1">
      <c r="A428" s="209" t="s">
        <v>1302</v>
      </c>
      <c r="B428" s="185">
        <v>99814</v>
      </c>
      <c r="C428" s="153" t="s">
        <v>598</v>
      </c>
      <c r="D428" s="234" t="s">
        <v>48</v>
      </c>
      <c r="E428" s="1978">
        <v>1.41</v>
      </c>
      <c r="F428" s="939">
        <f t="shared" si="65"/>
        <v>890.78</v>
      </c>
      <c r="G428" s="602">
        <v>890.78</v>
      </c>
      <c r="H428" s="603">
        <f t="shared" si="66"/>
        <v>1.72</v>
      </c>
      <c r="I428" s="210">
        <f t="shared" si="67"/>
        <v>1532.14</v>
      </c>
      <c r="J428" s="944"/>
      <c r="K428" s="2053" t="s">
        <v>2498</v>
      </c>
      <c r="L428" s="2053"/>
    </row>
    <row r="429" spans="1:12" ht="15.75" thickBot="1">
      <c r="A429" s="379"/>
      <c r="B429" s="175"/>
      <c r="C429" s="175"/>
      <c r="D429" s="175"/>
      <c r="E429" s="953"/>
      <c r="F429" s="954"/>
      <c r="G429" s="982"/>
      <c r="H429" s="956" t="s">
        <v>16</v>
      </c>
      <c r="I429" s="178">
        <f>TRUNC(SUM(I426:I428),2)</f>
        <v>2058.87</v>
      </c>
      <c r="J429" s="547"/>
      <c r="K429" t="s">
        <v>43</v>
      </c>
    </row>
    <row r="430" spans="1:12" ht="15.75">
      <c r="A430" s="249"/>
      <c r="B430" s="2036" t="s">
        <v>26</v>
      </c>
      <c r="C430" s="2037"/>
      <c r="D430" s="2037"/>
      <c r="E430" s="2037"/>
      <c r="F430" s="2037"/>
      <c r="G430" s="2037"/>
      <c r="H430" s="2037"/>
      <c r="I430" s="629">
        <f>TRUNC((I16+I33+I38+I93+I106+I115+I127+I144+I158+I167+I221+I251+I261+I292+I309+I338+I351+I365+I373+I409+I424+I429),2)</f>
        <v>1572023.82</v>
      </c>
      <c r="J430" s="614"/>
      <c r="K430" s="563">
        <f>SUM(I15:I429)/2</f>
        <v>1572023.8199999996</v>
      </c>
    </row>
    <row r="431" spans="1:12" ht="15.75">
      <c r="A431" s="232"/>
      <c r="B431" s="2038" t="s">
        <v>27</v>
      </c>
      <c r="C431" s="2039"/>
      <c r="D431" s="2039"/>
      <c r="E431" s="2040">
        <f>I430</f>
        <v>1572023.82</v>
      </c>
      <c r="F431" s="2041"/>
      <c r="G431" s="2041"/>
      <c r="H431" s="2041"/>
      <c r="I431" s="250"/>
      <c r="J431" s="547"/>
      <c r="K431" s="205"/>
    </row>
    <row r="432" spans="1:12" ht="18.75" thickBot="1">
      <c r="A432" s="233"/>
      <c r="B432" s="2048" t="s">
        <v>2499</v>
      </c>
      <c r="C432" s="2049"/>
      <c r="D432" s="2049"/>
      <c r="E432" s="2049"/>
      <c r="F432" s="2049"/>
      <c r="G432" s="2049"/>
      <c r="H432" s="2049"/>
      <c r="I432" s="2050"/>
      <c r="J432" s="615"/>
    </row>
    <row r="433" spans="1:10" ht="6" customHeight="1" thickBot="1">
      <c r="A433" s="135"/>
      <c r="B433" s="46"/>
      <c r="C433" s="46"/>
      <c r="D433" s="46"/>
      <c r="E433" s="46"/>
      <c r="F433" s="46"/>
      <c r="G433" s="46"/>
      <c r="H433" s="46"/>
      <c r="I433" s="46"/>
      <c r="J433" s="547"/>
    </row>
    <row r="434" spans="1:10" ht="46.5" customHeight="1" thickBot="1">
      <c r="A434" s="2043" t="s">
        <v>136</v>
      </c>
      <c r="B434" s="2044"/>
      <c r="C434" s="213"/>
      <c r="D434" s="2002" t="s">
        <v>116</v>
      </c>
      <c r="E434" s="2002"/>
      <c r="F434" s="2002"/>
      <c r="G434" s="2002"/>
      <c r="H434" s="2045"/>
      <c r="I434" s="2046"/>
    </row>
    <row r="438" spans="1:10">
      <c r="C438" s="420"/>
    </row>
  </sheetData>
  <mergeCells count="20">
    <mergeCell ref="M21:O21"/>
    <mergeCell ref="A434:B434"/>
    <mergeCell ref="D434:G434"/>
    <mergeCell ref="H434:I434"/>
    <mergeCell ref="K361:L361"/>
    <mergeCell ref="B432:I432"/>
    <mergeCell ref="K228:L228"/>
    <mergeCell ref="K21:L21"/>
    <mergeCell ref="K428:L428"/>
    <mergeCell ref="B9:C9"/>
    <mergeCell ref="B10:C10"/>
    <mergeCell ref="B430:H430"/>
    <mergeCell ref="B431:D431"/>
    <mergeCell ref="E431:H431"/>
    <mergeCell ref="B7:C7"/>
    <mergeCell ref="H7:H8"/>
    <mergeCell ref="B8:C8"/>
    <mergeCell ref="C3:F3"/>
    <mergeCell ref="C4:F4"/>
    <mergeCell ref="C5:F5"/>
  </mergeCells>
  <printOptions horizontalCentered="1"/>
  <pageMargins left="0.51181102362204722" right="0.51181102362204722" top="0.78740157480314965" bottom="0.78740157480314965" header="0.31496062992125984" footer="0.31496062992125984"/>
  <pageSetup paperSize="9" scale="75" orientation="landscape" r:id="rId1"/>
  <ignoredErrors>
    <ignoredError sqref="I167 I115 I292 I127 I424 I251 I261 I221 I373" formula="1"/>
    <ignoredError sqref="J313 J320:J321 J334 J336 J332"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3"/>
  <sheetViews>
    <sheetView zoomScale="90" zoomScaleNormal="90" workbookViewId="0">
      <selection sqref="A1:F508"/>
    </sheetView>
  </sheetViews>
  <sheetFormatPr defaultRowHeight="15"/>
  <cols>
    <col min="1" max="1" width="14.85546875" customWidth="1"/>
    <col min="2" max="2" width="60.140625" customWidth="1"/>
    <col min="3" max="3" width="10" customWidth="1"/>
    <col min="4" max="4" width="9.28515625" customWidth="1"/>
    <col min="5" max="5" width="11.140625" customWidth="1"/>
    <col min="6" max="6" width="24.5703125" customWidth="1"/>
    <col min="7" max="7" width="14.140625" customWidth="1"/>
    <col min="8" max="8" width="20.42578125" customWidth="1"/>
    <col min="9" max="9" width="17.85546875" customWidth="1"/>
  </cols>
  <sheetData>
    <row r="1" spans="1:6">
      <c r="A1" s="140"/>
      <c r="B1" s="141"/>
      <c r="C1" s="141"/>
      <c r="D1" s="141"/>
      <c r="E1" s="141"/>
      <c r="F1" s="142"/>
    </row>
    <row r="2" spans="1:6">
      <c r="A2" s="135"/>
      <c r="B2" s="46"/>
      <c r="C2" s="46"/>
      <c r="D2" s="46"/>
      <c r="E2" s="46"/>
      <c r="F2" s="136"/>
    </row>
    <row r="3" spans="1:6">
      <c r="A3" s="135"/>
      <c r="B3" s="2004" t="s">
        <v>127</v>
      </c>
      <c r="C3" s="2004"/>
      <c r="D3" s="2004"/>
      <c r="E3" s="2004"/>
      <c r="F3" s="2101"/>
    </row>
    <row r="4" spans="1:6">
      <c r="A4" s="135"/>
      <c r="B4" s="2004" t="s">
        <v>128</v>
      </c>
      <c r="C4" s="2004"/>
      <c r="D4" s="2004"/>
      <c r="E4" s="2004"/>
      <c r="F4" s="2101"/>
    </row>
    <row r="5" spans="1:6">
      <c r="A5" s="135"/>
      <c r="B5" s="2108" t="s">
        <v>284</v>
      </c>
      <c r="C5" s="2108"/>
      <c r="D5" s="2108"/>
      <c r="E5" s="2108"/>
      <c r="F5" s="2109"/>
    </row>
    <row r="6" spans="1:6" ht="15.75" thickBot="1">
      <c r="A6" s="245"/>
      <c r="B6" s="1257"/>
      <c r="C6" s="1257"/>
      <c r="D6" s="1257"/>
      <c r="E6" s="1257"/>
      <c r="F6" s="1667"/>
    </row>
    <row r="7" spans="1:6" ht="5.25" customHeight="1" thickBot="1"/>
    <row r="8" spans="1:6">
      <c r="A8" s="242" t="s">
        <v>0</v>
      </c>
      <c r="B8" s="399" t="str">
        <f>'PLANILHA SEM DESON'!B7:C7</f>
        <v>364778/2019</v>
      </c>
      <c r="C8" s="400"/>
      <c r="D8" s="141"/>
      <c r="E8" s="243" t="s">
        <v>131</v>
      </c>
      <c r="F8" s="635">
        <f>'PLANILHA SEM DESON'!I10</f>
        <v>44414</v>
      </c>
    </row>
    <row r="9" spans="1:6">
      <c r="A9" s="214" t="s">
        <v>1</v>
      </c>
      <c r="B9" s="298" t="str">
        <f>'PLANILHA SEM DESON'!B8:C8</f>
        <v>CONSTRUÇÃO DE DIRETORIA DE UNIDADE DESCONCENTRADA DA SEMA - DUDS</v>
      </c>
      <c r="C9" s="401"/>
      <c r="D9" s="46"/>
      <c r="E9" s="46"/>
      <c r="F9" s="136"/>
    </row>
    <row r="10" spans="1:6">
      <c r="A10" s="214" t="s">
        <v>2</v>
      </c>
      <c r="B10" s="298" t="str">
        <f>'PLANILHA SEM DESON'!B9:B9</f>
        <v>Rua Erichin, esquina com Rua Circular - Bairro Residencial Arco Íris</v>
      </c>
      <c r="C10" s="401"/>
      <c r="D10" s="46"/>
      <c r="E10" s="46"/>
      <c r="F10" s="136"/>
    </row>
    <row r="11" spans="1:6">
      <c r="A11" s="214" t="s">
        <v>4</v>
      </c>
      <c r="B11" s="298" t="str">
        <f>'PLANILHA SEM DESON'!B10:C10</f>
        <v>CONFRESA - MT</v>
      </c>
      <c r="C11" s="401"/>
      <c r="D11" s="46"/>
      <c r="E11" s="46"/>
      <c r="F11" s="136"/>
    </row>
    <row r="12" spans="1:6" ht="15.75" thickBot="1">
      <c r="A12" s="215" t="s">
        <v>6</v>
      </c>
      <c r="B12" s="1699" t="str">
        <f>'PLANILHA SEM DESON'!B11</f>
        <v xml:space="preserve">CONSTRUÇÃO </v>
      </c>
      <c r="C12" s="1700"/>
      <c r="D12" s="1257"/>
      <c r="E12" s="1257"/>
      <c r="F12" s="1667"/>
    </row>
    <row r="13" spans="1:6" ht="3.75" customHeight="1" thickBot="1">
      <c r="A13" s="46"/>
    </row>
    <row r="14" spans="1:6" ht="15.75" thickBot="1">
      <c r="A14" s="2110" t="s">
        <v>512</v>
      </c>
      <c r="B14" s="2111"/>
      <c r="C14" s="2111"/>
      <c r="D14" s="2111"/>
      <c r="E14" s="2111"/>
      <c r="F14" s="2112"/>
    </row>
    <row r="15" spans="1:6">
      <c r="A15" s="158" t="s">
        <v>125</v>
      </c>
      <c r="B15" s="241" t="s">
        <v>117</v>
      </c>
      <c r="C15" s="159" t="s">
        <v>57</v>
      </c>
      <c r="D15" s="160"/>
      <c r="E15" s="161"/>
      <c r="F15" s="162"/>
    </row>
    <row r="16" spans="1:6" ht="30">
      <c r="A16" s="92"/>
      <c r="B16" s="93" t="s">
        <v>58</v>
      </c>
      <c r="C16" s="94" t="s">
        <v>51</v>
      </c>
      <c r="D16" s="95" t="s">
        <v>52</v>
      </c>
      <c r="E16" s="107" t="s">
        <v>64</v>
      </c>
      <c r="F16" s="96" t="s">
        <v>54</v>
      </c>
    </row>
    <row r="17" spans="1:7" ht="20.25" customHeight="1">
      <c r="A17" s="145">
        <v>90776</v>
      </c>
      <c r="B17" s="103" t="s">
        <v>115</v>
      </c>
      <c r="C17" s="99" t="s">
        <v>59</v>
      </c>
      <c r="D17" s="87">
        <v>640</v>
      </c>
      <c r="E17" s="1664">
        <v>23.11</v>
      </c>
      <c r="F17" s="224">
        <f>TRUNC((D17*E17),2)</f>
        <v>14790.4</v>
      </c>
      <c r="G17" s="321"/>
    </row>
    <row r="18" spans="1:7" ht="25.5">
      <c r="A18" s="145">
        <v>90777</v>
      </c>
      <c r="B18" s="103" t="s">
        <v>129</v>
      </c>
      <c r="C18" s="99" t="s">
        <v>59</v>
      </c>
      <c r="D18" s="87">
        <v>64</v>
      </c>
      <c r="E18" s="202">
        <v>92.66</v>
      </c>
      <c r="F18" s="224">
        <f>TRUNC((D18*E18),2)</f>
        <v>5930.24</v>
      </c>
    </row>
    <row r="19" spans="1:7">
      <c r="A19" s="97"/>
      <c r="B19" s="98"/>
      <c r="C19" s="32" t="s">
        <v>43</v>
      </c>
      <c r="D19" s="100" t="s">
        <v>43</v>
      </c>
      <c r="E19" s="295" t="s">
        <v>60</v>
      </c>
      <c r="F19" s="403">
        <f>SUM(F17:F18)</f>
        <v>20720.64</v>
      </c>
    </row>
    <row r="20" spans="1:7" ht="15.75" thickBot="1">
      <c r="A20" s="104"/>
      <c r="B20" s="2102" t="s">
        <v>55</v>
      </c>
      <c r="C20" s="2059"/>
      <c r="D20" s="2059"/>
      <c r="E20" s="2103"/>
      <c r="F20" s="1624">
        <f>F19</f>
        <v>20720.64</v>
      </c>
    </row>
    <row r="21" spans="1:7" ht="16.5" customHeight="1" thickBot="1">
      <c r="A21" s="189"/>
      <c r="B21" s="2104" t="s">
        <v>132</v>
      </c>
      <c r="C21" s="2105"/>
      <c r="D21" s="2105"/>
      <c r="E21" s="2106"/>
      <c r="F21" s="190"/>
    </row>
    <row r="22" spans="1:7" ht="31.5" customHeight="1" thickBot="1">
      <c r="A22" s="246"/>
      <c r="B22" s="2107" t="s">
        <v>1306</v>
      </c>
      <c r="C22" s="2107"/>
      <c r="D22" s="2107"/>
      <c r="E22" s="2107"/>
      <c r="F22" s="1701"/>
    </row>
    <row r="23" spans="1:7" ht="16.5" customHeight="1" thickBot="1">
      <c r="A23" s="201"/>
      <c r="B23" s="201"/>
      <c r="C23" s="201"/>
      <c r="D23" s="201"/>
      <c r="E23" s="201"/>
      <c r="F23" s="201"/>
    </row>
    <row r="24" spans="1:7" ht="16.5" customHeight="1">
      <c r="A24" s="158" t="s">
        <v>130</v>
      </c>
      <c r="B24" s="349" t="s">
        <v>601</v>
      </c>
      <c r="C24" s="159" t="s">
        <v>48</v>
      </c>
      <c r="D24" s="160"/>
      <c r="E24" s="161"/>
      <c r="F24" s="240"/>
    </row>
    <row r="25" spans="1:7" ht="16.5" customHeight="1">
      <c r="A25" s="2081" t="s">
        <v>341</v>
      </c>
      <c r="B25" s="2082"/>
      <c r="C25" s="2082"/>
      <c r="D25" s="2082"/>
      <c r="E25" s="2082"/>
      <c r="F25" s="2083"/>
    </row>
    <row r="26" spans="1:7" ht="28.5" customHeight="1">
      <c r="A26" s="254"/>
      <c r="B26" s="255" t="s">
        <v>58</v>
      </c>
      <c r="C26" s="256" t="s">
        <v>51</v>
      </c>
      <c r="D26" s="257" t="s">
        <v>52</v>
      </c>
      <c r="E26" s="258" t="s">
        <v>64</v>
      </c>
      <c r="F26" s="259" t="s">
        <v>54</v>
      </c>
    </row>
    <row r="27" spans="1:7" ht="27.75" customHeight="1">
      <c r="A27" s="1017">
        <v>88262</v>
      </c>
      <c r="B27" s="398" t="s">
        <v>389</v>
      </c>
      <c r="C27" s="350" t="s">
        <v>59</v>
      </c>
      <c r="D27" s="223">
        <v>1</v>
      </c>
      <c r="E27" s="202">
        <v>19.649999999999999</v>
      </c>
      <c r="F27" s="1619">
        <f>TRUNC((D27*E27),2)</f>
        <v>19.649999999999999</v>
      </c>
    </row>
    <row r="28" spans="1:7" ht="16.5" customHeight="1">
      <c r="A28" s="1017">
        <v>88316</v>
      </c>
      <c r="B28" s="398" t="s">
        <v>68</v>
      </c>
      <c r="C28" s="350" t="s">
        <v>59</v>
      </c>
      <c r="D28" s="223">
        <v>2</v>
      </c>
      <c r="E28" s="202">
        <v>15.65</v>
      </c>
      <c r="F28" s="1619">
        <f>TRUNC((D28*E28),2)</f>
        <v>31.3</v>
      </c>
    </row>
    <row r="29" spans="1:7" ht="16.5" customHeight="1">
      <c r="A29" s="1621"/>
      <c r="B29" s="1702"/>
      <c r="C29" s="367" t="s">
        <v>43</v>
      </c>
      <c r="D29" s="368" t="s">
        <v>43</v>
      </c>
      <c r="E29" s="295" t="s">
        <v>60</v>
      </c>
      <c r="F29" s="1703">
        <f>SUM(F27:F28)</f>
        <v>50.95</v>
      </c>
    </row>
    <row r="30" spans="1:7" ht="30.75" customHeight="1">
      <c r="A30" s="1621"/>
      <c r="B30" s="1704" t="s">
        <v>95</v>
      </c>
      <c r="C30" s="82" t="s">
        <v>51</v>
      </c>
      <c r="D30" s="83" t="s">
        <v>52</v>
      </c>
      <c r="E30" s="107" t="s">
        <v>64</v>
      </c>
      <c r="F30" s="1703" t="s">
        <v>54</v>
      </c>
    </row>
    <row r="31" spans="1:7" ht="40.5" customHeight="1">
      <c r="A31" s="1022">
        <v>94962</v>
      </c>
      <c r="B31" s="398" t="s">
        <v>390</v>
      </c>
      <c r="C31" s="350" t="s">
        <v>49</v>
      </c>
      <c r="D31" s="223">
        <v>0.01</v>
      </c>
      <c r="E31" s="223">
        <v>302.14999999999998</v>
      </c>
      <c r="F31" s="1619">
        <f>TRUNC((D31*E31),2)</f>
        <v>3.02</v>
      </c>
    </row>
    <row r="32" spans="1:7" ht="25.5" customHeight="1">
      <c r="A32" s="1022">
        <v>4417</v>
      </c>
      <c r="B32" s="398" t="s">
        <v>391</v>
      </c>
      <c r="C32" s="350" t="s">
        <v>56</v>
      </c>
      <c r="D32" s="223">
        <v>1</v>
      </c>
      <c r="E32" s="223">
        <v>3.26</v>
      </c>
      <c r="F32" s="1619">
        <f>TRUNC((D32*E32),2)</f>
        <v>3.26</v>
      </c>
    </row>
    <row r="33" spans="1:6" ht="25.5" customHeight="1">
      <c r="A33" s="1022">
        <v>4491</v>
      </c>
      <c r="B33" s="398" t="s">
        <v>392</v>
      </c>
      <c r="C33" s="350" t="s">
        <v>56</v>
      </c>
      <c r="D33" s="223">
        <v>4</v>
      </c>
      <c r="E33" s="223">
        <v>7.99</v>
      </c>
      <c r="F33" s="1619">
        <f>TRUNC((D33*E33),2)</f>
        <v>31.96</v>
      </c>
    </row>
    <row r="34" spans="1:6" ht="25.5" customHeight="1">
      <c r="A34" s="1022">
        <v>4813</v>
      </c>
      <c r="B34" s="398" t="s">
        <v>393</v>
      </c>
      <c r="C34" s="350" t="s">
        <v>48</v>
      </c>
      <c r="D34" s="223">
        <v>1</v>
      </c>
      <c r="E34" s="223">
        <v>225</v>
      </c>
      <c r="F34" s="1619">
        <f>TRUNC((D34*E34),2)</f>
        <v>225</v>
      </c>
    </row>
    <row r="35" spans="1:6" ht="21" customHeight="1" thickBot="1">
      <c r="A35" s="1705">
        <v>5075</v>
      </c>
      <c r="B35" s="1706" t="s">
        <v>394</v>
      </c>
      <c r="C35" s="1707" t="s">
        <v>101</v>
      </c>
      <c r="D35" s="1675">
        <v>0.11</v>
      </c>
      <c r="E35" s="1675">
        <v>16.02</v>
      </c>
      <c r="F35" s="1676">
        <f>TRUNC((D35*E35),2)</f>
        <v>1.76</v>
      </c>
    </row>
    <row r="36" spans="1:6" ht="16.5" customHeight="1" thickBot="1">
      <c r="A36" s="1677"/>
      <c r="B36" s="1678"/>
      <c r="C36" s="1708"/>
      <c r="D36" s="1709"/>
      <c r="E36" s="1710" t="s">
        <v>60</v>
      </c>
      <c r="F36" s="1681">
        <f>SUM(F31:F35)</f>
        <v>265</v>
      </c>
    </row>
    <row r="37" spans="1:6" ht="16.5" customHeight="1" thickBot="1">
      <c r="A37" s="104"/>
      <c r="B37" s="2100" t="s">
        <v>55</v>
      </c>
      <c r="C37" s="2100"/>
      <c r="D37" s="2100"/>
      <c r="E37" s="2100"/>
      <c r="F37" s="1624">
        <f>F29+F36</f>
        <v>315.95</v>
      </c>
    </row>
    <row r="38" spans="1:6" ht="16.5" customHeight="1" thickBot="1">
      <c r="A38" s="201"/>
      <c r="B38" s="201"/>
      <c r="C38" s="201"/>
      <c r="D38" s="201"/>
      <c r="E38" s="201"/>
      <c r="F38" s="201"/>
    </row>
    <row r="39" spans="1:6" ht="30.75" customHeight="1">
      <c r="A39" s="419" t="s">
        <v>133</v>
      </c>
      <c r="B39" s="417" t="s">
        <v>205</v>
      </c>
      <c r="C39" s="159" t="s">
        <v>57</v>
      </c>
      <c r="D39" s="160"/>
      <c r="E39" s="160"/>
      <c r="F39" s="396"/>
    </row>
    <row r="40" spans="1:6" ht="16.5" customHeight="1">
      <c r="A40" s="2054" t="s">
        <v>608</v>
      </c>
      <c r="B40" s="2055"/>
      <c r="C40" s="2055"/>
      <c r="D40" s="2055"/>
      <c r="E40" s="2055"/>
      <c r="F40" s="2056"/>
    </row>
    <row r="41" spans="1:6" ht="30" customHeight="1">
      <c r="A41" s="1015"/>
      <c r="B41" s="1024" t="s">
        <v>58</v>
      </c>
      <c r="C41" s="94" t="s">
        <v>51</v>
      </c>
      <c r="D41" s="95" t="s">
        <v>52</v>
      </c>
      <c r="E41" s="258" t="s">
        <v>64</v>
      </c>
      <c r="F41" s="1016" t="s">
        <v>54</v>
      </c>
    </row>
    <row r="42" spans="1:6" ht="17.25" customHeight="1">
      <c r="A42" s="388">
        <v>88264</v>
      </c>
      <c r="B42" s="516" t="s">
        <v>94</v>
      </c>
      <c r="C42" s="99" t="s">
        <v>59</v>
      </c>
      <c r="D42" s="225">
        <v>8</v>
      </c>
      <c r="E42" s="223">
        <v>20.6</v>
      </c>
      <c r="F42" s="1018">
        <f>TRUNC((D42*E42),2)</f>
        <v>164.8</v>
      </c>
    </row>
    <row r="43" spans="1:6" ht="16.5" customHeight="1">
      <c r="A43" s="1019">
        <v>88316</v>
      </c>
      <c r="B43" s="298" t="s">
        <v>68</v>
      </c>
      <c r="C43" s="99" t="s">
        <v>59</v>
      </c>
      <c r="D43" s="225">
        <v>8</v>
      </c>
      <c r="E43" s="223">
        <v>15.65</v>
      </c>
      <c r="F43" s="1018">
        <f>TRUNC((D43*E43),2)</f>
        <v>125.2</v>
      </c>
    </row>
    <row r="44" spans="1:6" ht="16.5" customHeight="1">
      <c r="A44" s="1711"/>
      <c r="B44" s="1020"/>
      <c r="C44" s="32" t="s">
        <v>43</v>
      </c>
      <c r="D44" s="100" t="s">
        <v>43</v>
      </c>
      <c r="E44" s="100"/>
      <c r="F44" s="1021">
        <f>SUM(F42:F43)</f>
        <v>290</v>
      </c>
    </row>
    <row r="45" spans="1:6" ht="30.75" customHeight="1">
      <c r="A45" s="1711"/>
      <c r="B45" s="1024" t="s">
        <v>95</v>
      </c>
      <c r="C45" s="94" t="s">
        <v>51</v>
      </c>
      <c r="D45" s="95" t="s">
        <v>52</v>
      </c>
      <c r="E45" s="258" t="s">
        <v>64</v>
      </c>
      <c r="F45" s="1016" t="s">
        <v>54</v>
      </c>
    </row>
    <row r="46" spans="1:6" ht="26.25" customHeight="1">
      <c r="A46" s="388">
        <v>406</v>
      </c>
      <c r="B46" s="398" t="s">
        <v>513</v>
      </c>
      <c r="C46" s="99" t="s">
        <v>57</v>
      </c>
      <c r="D46" s="410">
        <v>0.13333329999999999</v>
      </c>
      <c r="E46" s="223">
        <v>85.65</v>
      </c>
      <c r="F46" s="1018">
        <f>TRUNC((D46*E46),2)</f>
        <v>11.41</v>
      </c>
    </row>
    <row r="47" spans="1:6" ht="24" customHeight="1">
      <c r="A47" s="388">
        <v>420</v>
      </c>
      <c r="B47" s="996" t="s">
        <v>514</v>
      </c>
      <c r="C47" s="99" t="s">
        <v>57</v>
      </c>
      <c r="D47" s="390">
        <v>2</v>
      </c>
      <c r="E47" s="223">
        <v>27.56</v>
      </c>
      <c r="F47" s="1018">
        <f>TRUNC((D47*E47),2)</f>
        <v>55.12</v>
      </c>
    </row>
    <row r="48" spans="1:6" ht="16.5" customHeight="1">
      <c r="A48" s="388">
        <v>857</v>
      </c>
      <c r="B48" s="398" t="s">
        <v>515</v>
      </c>
      <c r="C48" s="99" t="s">
        <v>56</v>
      </c>
      <c r="D48" s="390">
        <v>3</v>
      </c>
      <c r="E48" s="223">
        <v>11.9</v>
      </c>
      <c r="F48" s="1018">
        <f t="shared" ref="F48:F62" si="0">TRUNC((D48*E48),2)</f>
        <v>35.700000000000003</v>
      </c>
    </row>
    <row r="49" spans="1:6" ht="24" customHeight="1">
      <c r="A49" s="388">
        <v>937</v>
      </c>
      <c r="B49" s="398" t="s">
        <v>516</v>
      </c>
      <c r="C49" s="99" t="s">
        <v>56</v>
      </c>
      <c r="D49" s="390">
        <v>27</v>
      </c>
      <c r="E49" s="223">
        <v>9.6199999999999992</v>
      </c>
      <c r="F49" s="1018">
        <f t="shared" si="0"/>
        <v>259.74</v>
      </c>
    </row>
    <row r="50" spans="1:6" ht="39.75" customHeight="1">
      <c r="A50" s="388">
        <v>1062</v>
      </c>
      <c r="B50" s="398" t="s">
        <v>517</v>
      </c>
      <c r="C50" s="99" t="s">
        <v>57</v>
      </c>
      <c r="D50" s="390">
        <v>1</v>
      </c>
      <c r="E50" s="223">
        <v>267.39999999999998</v>
      </c>
      <c r="F50" s="1018">
        <f t="shared" si="0"/>
        <v>267.39999999999998</v>
      </c>
    </row>
    <row r="51" spans="1:6" ht="24" customHeight="1">
      <c r="A51" s="388">
        <v>1096</v>
      </c>
      <c r="B51" s="398" t="s">
        <v>518</v>
      </c>
      <c r="C51" s="99" t="s">
        <v>57</v>
      </c>
      <c r="D51" s="390">
        <v>2</v>
      </c>
      <c r="E51" s="223">
        <v>91.47</v>
      </c>
      <c r="F51" s="1018">
        <f t="shared" si="0"/>
        <v>182.94</v>
      </c>
    </row>
    <row r="52" spans="1:6" ht="24" customHeight="1">
      <c r="A52" s="388">
        <v>1539</v>
      </c>
      <c r="B52" s="398" t="s">
        <v>519</v>
      </c>
      <c r="C52" s="99" t="s">
        <v>57</v>
      </c>
      <c r="D52" s="390">
        <v>8</v>
      </c>
      <c r="E52" s="223">
        <v>5.99</v>
      </c>
      <c r="F52" s="1018">
        <f t="shared" si="0"/>
        <v>47.92</v>
      </c>
    </row>
    <row r="53" spans="1:6" ht="17.25" customHeight="1">
      <c r="A53" s="388">
        <v>1892</v>
      </c>
      <c r="B53" s="398" t="s">
        <v>520</v>
      </c>
      <c r="C53" s="99" t="s">
        <v>57</v>
      </c>
      <c r="D53" s="390">
        <v>4</v>
      </c>
      <c r="E53" s="223">
        <v>1.22</v>
      </c>
      <c r="F53" s="1018">
        <f t="shared" si="0"/>
        <v>4.88</v>
      </c>
    </row>
    <row r="54" spans="1:6" ht="24" customHeight="1">
      <c r="A54" s="388">
        <v>2392</v>
      </c>
      <c r="B54" s="398" t="s">
        <v>521</v>
      </c>
      <c r="C54" s="99" t="s">
        <v>57</v>
      </c>
      <c r="D54" s="390">
        <v>1</v>
      </c>
      <c r="E54" s="223">
        <v>71.22</v>
      </c>
      <c r="F54" s="1018">
        <f t="shared" si="0"/>
        <v>71.22</v>
      </c>
    </row>
    <row r="55" spans="1:6" ht="18.75" customHeight="1">
      <c r="A55" s="388">
        <v>2685</v>
      </c>
      <c r="B55" s="398" t="s">
        <v>522</v>
      </c>
      <c r="C55" s="99" t="s">
        <v>56</v>
      </c>
      <c r="D55" s="390">
        <v>8</v>
      </c>
      <c r="E55" s="223">
        <v>4.76</v>
      </c>
      <c r="F55" s="1018">
        <f t="shared" si="0"/>
        <v>38.08</v>
      </c>
    </row>
    <row r="56" spans="1:6" ht="24" customHeight="1">
      <c r="A56" s="388">
        <v>2731</v>
      </c>
      <c r="B56" s="398" t="s">
        <v>523</v>
      </c>
      <c r="C56" s="99" t="s">
        <v>56</v>
      </c>
      <c r="D56" s="390">
        <v>7.96</v>
      </c>
      <c r="E56" s="223">
        <v>69.25</v>
      </c>
      <c r="F56" s="1018">
        <f t="shared" si="0"/>
        <v>551.23</v>
      </c>
    </row>
    <row r="57" spans="1:6" ht="24" customHeight="1">
      <c r="A57" s="388">
        <v>3379</v>
      </c>
      <c r="B57" s="996" t="s">
        <v>524</v>
      </c>
      <c r="C57" s="99" t="s">
        <v>57</v>
      </c>
      <c r="D57" s="390">
        <v>1</v>
      </c>
      <c r="E57" s="223">
        <v>41.71</v>
      </c>
      <c r="F57" s="1018">
        <f t="shared" si="0"/>
        <v>41.71</v>
      </c>
    </row>
    <row r="58" spans="1:6" ht="44.25" customHeight="1">
      <c r="A58" s="388">
        <v>4346</v>
      </c>
      <c r="B58" s="398" t="s">
        <v>525</v>
      </c>
      <c r="C58" s="99" t="s">
        <v>57</v>
      </c>
      <c r="D58" s="390">
        <v>2</v>
      </c>
      <c r="E58" s="223">
        <v>5.62</v>
      </c>
      <c r="F58" s="1018">
        <f t="shared" si="0"/>
        <v>11.24</v>
      </c>
    </row>
    <row r="59" spans="1:6" ht="24" customHeight="1">
      <c r="A59" s="388">
        <v>11267</v>
      </c>
      <c r="B59" s="398" t="s">
        <v>526</v>
      </c>
      <c r="C59" s="99" t="s">
        <v>57</v>
      </c>
      <c r="D59" s="390">
        <v>2</v>
      </c>
      <c r="E59" s="223">
        <v>0.9</v>
      </c>
      <c r="F59" s="1018">
        <f t="shared" si="0"/>
        <v>1.8</v>
      </c>
    </row>
    <row r="60" spans="1:6" ht="24" customHeight="1" thickBot="1">
      <c r="A60" s="1775">
        <v>12034</v>
      </c>
      <c r="B60" s="1706" t="s">
        <v>527</v>
      </c>
      <c r="C60" s="1597" t="s">
        <v>57</v>
      </c>
      <c r="D60" s="1776">
        <v>2</v>
      </c>
      <c r="E60" s="1675">
        <v>3.47</v>
      </c>
      <c r="F60" s="1750">
        <f t="shared" si="0"/>
        <v>6.94</v>
      </c>
    </row>
    <row r="61" spans="1:6" ht="16.5" customHeight="1">
      <c r="A61" s="1737">
        <v>39176</v>
      </c>
      <c r="B61" s="1738" t="s">
        <v>528</v>
      </c>
      <c r="C61" s="1599" t="s">
        <v>57</v>
      </c>
      <c r="D61" s="1742">
        <v>2</v>
      </c>
      <c r="E61" s="1690">
        <v>0.92</v>
      </c>
      <c r="F61" s="1740">
        <f t="shared" si="0"/>
        <v>1.84</v>
      </c>
    </row>
    <row r="62" spans="1:6" ht="24" customHeight="1">
      <c r="A62" s="388">
        <v>39210</v>
      </c>
      <c r="B62" s="398" t="s">
        <v>529</v>
      </c>
      <c r="C62" s="99" t="s">
        <v>57</v>
      </c>
      <c r="D62" s="390">
        <v>2</v>
      </c>
      <c r="E62" s="223">
        <v>0.68</v>
      </c>
      <c r="F62" s="1018">
        <f t="shared" si="0"/>
        <v>1.36</v>
      </c>
    </row>
    <row r="63" spans="1:6" ht="16.5" customHeight="1">
      <c r="A63" s="145"/>
      <c r="B63" s="191"/>
      <c r="C63" s="152"/>
      <c r="D63" s="192"/>
      <c r="E63" s="192"/>
      <c r="F63" s="403">
        <f>SUM(F46:F62)</f>
        <v>1590.5299999999997</v>
      </c>
    </row>
    <row r="64" spans="1:6" ht="16.5" customHeight="1" thickBot="1">
      <c r="A64" s="104"/>
      <c r="B64" s="2095" t="s">
        <v>55</v>
      </c>
      <c r="C64" s="2096"/>
      <c r="D64" s="2096"/>
      <c r="E64" s="2096"/>
      <c r="F64" s="1624">
        <f>F44+F63</f>
        <v>1880.5299999999997</v>
      </c>
    </row>
    <row r="65" spans="1:8" ht="16.5" customHeight="1" thickBot="1">
      <c r="A65" s="201"/>
      <c r="B65" s="201"/>
      <c r="C65" s="201"/>
      <c r="D65" s="201"/>
      <c r="E65" s="201"/>
      <c r="F65" s="201"/>
    </row>
    <row r="66" spans="1:8" ht="24.75" customHeight="1">
      <c r="A66" s="419" t="s">
        <v>530</v>
      </c>
      <c r="B66" s="459" t="s">
        <v>357</v>
      </c>
      <c r="C66" s="357" t="s">
        <v>349</v>
      </c>
      <c r="D66" s="357"/>
      <c r="E66" s="358"/>
      <c r="F66" s="460"/>
    </row>
    <row r="67" spans="1:8" ht="16.5" customHeight="1">
      <c r="A67" s="359"/>
      <c r="B67" s="2085" t="s">
        <v>453</v>
      </c>
      <c r="C67" s="2086"/>
      <c r="D67" s="2086"/>
      <c r="E67" s="2086"/>
      <c r="F67" s="2087"/>
    </row>
    <row r="68" spans="1:8" ht="28.5" customHeight="1">
      <c r="A68" s="359"/>
      <c r="B68" s="255" t="s">
        <v>58</v>
      </c>
      <c r="C68" s="341" t="s">
        <v>350</v>
      </c>
      <c r="D68" s="341" t="s">
        <v>351</v>
      </c>
      <c r="E68" s="370" t="s">
        <v>352</v>
      </c>
      <c r="F68" s="360" t="s">
        <v>353</v>
      </c>
    </row>
    <row r="69" spans="1:8" ht="16.5" customHeight="1">
      <c r="A69" s="361">
        <v>88309</v>
      </c>
      <c r="B69" s="362" t="s">
        <v>104</v>
      </c>
      <c r="C69" s="1664" t="s">
        <v>354</v>
      </c>
      <c r="D69" s="202">
        <v>3.5</v>
      </c>
      <c r="E69" s="1664">
        <v>19.86</v>
      </c>
      <c r="F69" s="363">
        <f>TRUNC(D69*E69,2)</f>
        <v>69.510000000000005</v>
      </c>
    </row>
    <row r="70" spans="1:8" ht="16.5" customHeight="1">
      <c r="A70" s="361">
        <v>88316</v>
      </c>
      <c r="B70" s="362" t="s">
        <v>68</v>
      </c>
      <c r="C70" s="1664" t="s">
        <v>354</v>
      </c>
      <c r="D70" s="202">
        <v>13</v>
      </c>
      <c r="E70" s="202">
        <v>15.65</v>
      </c>
      <c r="F70" s="363">
        <f>TRUNC(D70*E70,2)</f>
        <v>203.45</v>
      </c>
    </row>
    <row r="71" spans="1:8" ht="16.5" customHeight="1">
      <c r="A71" s="361"/>
      <c r="B71" s="1712"/>
      <c r="C71" s="1664"/>
      <c r="D71" s="202"/>
      <c r="E71" s="295" t="s">
        <v>60</v>
      </c>
      <c r="F71" s="1703">
        <f>SUM(F69:F70)</f>
        <v>272.95999999999998</v>
      </c>
    </row>
    <row r="72" spans="1:8" ht="24" customHeight="1">
      <c r="A72" s="359"/>
      <c r="B72" s="1704" t="s">
        <v>95</v>
      </c>
      <c r="C72" s="341" t="s">
        <v>350</v>
      </c>
      <c r="D72" s="341" t="s">
        <v>351</v>
      </c>
      <c r="E72" s="370" t="s">
        <v>352</v>
      </c>
      <c r="F72" s="360" t="s">
        <v>353</v>
      </c>
    </row>
    <row r="73" spans="1:8" ht="24" customHeight="1">
      <c r="A73" s="361">
        <v>370</v>
      </c>
      <c r="B73" s="362" t="s">
        <v>355</v>
      </c>
      <c r="C73" s="1664" t="s">
        <v>49</v>
      </c>
      <c r="D73" s="364">
        <v>0.12</v>
      </c>
      <c r="E73" s="202">
        <v>74.17</v>
      </c>
      <c r="F73" s="363">
        <f>TRUNC(D73*E73,2)</f>
        <v>8.9</v>
      </c>
    </row>
    <row r="74" spans="1:8" ht="24" customHeight="1">
      <c r="A74" s="365">
        <v>4718</v>
      </c>
      <c r="B74" s="362" t="s">
        <v>356</v>
      </c>
      <c r="C74" s="1664" t="s">
        <v>49</v>
      </c>
      <c r="D74" s="364">
        <v>0.2</v>
      </c>
      <c r="E74" s="202">
        <v>79.849999999999994</v>
      </c>
      <c r="F74" s="363">
        <f>TRUNC(D74*E74,2)</f>
        <v>15.97</v>
      </c>
    </row>
    <row r="75" spans="1:8" ht="16.5" customHeight="1">
      <c r="A75" s="365">
        <v>1379</v>
      </c>
      <c r="B75" s="362" t="s">
        <v>166</v>
      </c>
      <c r="C75" s="1664" t="s">
        <v>72</v>
      </c>
      <c r="D75" s="364">
        <v>40</v>
      </c>
      <c r="E75" s="202">
        <v>0.64</v>
      </c>
      <c r="F75" s="363">
        <f>TRUNC(D75*E75,2)</f>
        <v>25.6</v>
      </c>
    </row>
    <row r="76" spans="1:8" ht="24" customHeight="1">
      <c r="A76" s="1713">
        <v>39362</v>
      </c>
      <c r="B76" s="204" t="s">
        <v>1307</v>
      </c>
      <c r="C76" s="1714" t="s">
        <v>350</v>
      </c>
      <c r="D76" s="1715">
        <v>1</v>
      </c>
      <c r="E76" s="1573">
        <v>3465.27</v>
      </c>
      <c r="F76" s="1716">
        <f>TRUNC(D76*E76,2)</f>
        <v>3465.27</v>
      </c>
    </row>
    <row r="77" spans="1:8" ht="16.5" customHeight="1">
      <c r="A77" s="365"/>
      <c r="B77" s="362"/>
      <c r="C77" s="1664"/>
      <c r="D77" s="364"/>
      <c r="E77" s="295" t="s">
        <v>60</v>
      </c>
      <c r="F77" s="85">
        <f>SUM(F73:F76)</f>
        <v>3515.74</v>
      </c>
    </row>
    <row r="78" spans="1:8" ht="16.5" customHeight="1" thickBot="1">
      <c r="A78" s="104"/>
      <c r="B78" s="2084" t="s">
        <v>55</v>
      </c>
      <c r="C78" s="2084"/>
      <c r="D78" s="2084"/>
      <c r="E78" s="2084"/>
      <c r="F78" s="1596">
        <f>F71+F77</f>
        <v>3788.7</v>
      </c>
    </row>
    <row r="79" spans="1:8" ht="16.5" customHeight="1" thickBot="1">
      <c r="A79" s="201"/>
      <c r="B79" s="201"/>
      <c r="C79" s="201"/>
      <c r="D79" s="201"/>
      <c r="E79" s="201"/>
      <c r="F79" s="201"/>
    </row>
    <row r="80" spans="1:8" ht="40.5" customHeight="1">
      <c r="A80" s="158" t="s">
        <v>1019</v>
      </c>
      <c r="B80" s="416" t="s">
        <v>1020</v>
      </c>
      <c r="C80" s="159" t="s">
        <v>57</v>
      </c>
      <c r="D80" s="160"/>
      <c r="E80" s="161"/>
      <c r="F80" s="162"/>
      <c r="H80" s="762" t="s">
        <v>335</v>
      </c>
    </row>
    <row r="81" spans="1:8" ht="16.5" customHeight="1">
      <c r="A81" s="2081" t="s">
        <v>1021</v>
      </c>
      <c r="B81" s="2082"/>
      <c r="C81" s="2082"/>
      <c r="D81" s="2082"/>
      <c r="E81" s="2082"/>
      <c r="F81" s="2083"/>
      <c r="H81" s="762"/>
    </row>
    <row r="82" spans="1:8" ht="30.75" customHeight="1">
      <c r="A82" s="92"/>
      <c r="B82" s="93" t="s">
        <v>58</v>
      </c>
      <c r="C82" s="94" t="s">
        <v>51</v>
      </c>
      <c r="D82" s="95" t="s">
        <v>52</v>
      </c>
      <c r="E82" s="107" t="s">
        <v>64</v>
      </c>
      <c r="F82" s="96" t="s">
        <v>54</v>
      </c>
    </row>
    <row r="83" spans="1:8" ht="16.5" customHeight="1">
      <c r="A83" s="388">
        <v>88309</v>
      </c>
      <c r="B83" s="1717" t="s">
        <v>104</v>
      </c>
      <c r="C83" s="99" t="s">
        <v>59</v>
      </c>
      <c r="D83" s="225">
        <v>2.73</v>
      </c>
      <c r="E83" s="1664">
        <v>19.86</v>
      </c>
      <c r="F83" s="224">
        <f>TRUNC((D83*E83),2)</f>
        <v>54.21</v>
      </c>
      <c r="H83" s="132">
        <f>2.73*1</f>
        <v>2.73</v>
      </c>
    </row>
    <row r="84" spans="1:8" ht="20.25" customHeight="1">
      <c r="A84" s="1017">
        <v>88316</v>
      </c>
      <c r="B84" s="1717" t="s">
        <v>68</v>
      </c>
      <c r="C84" s="99" t="s">
        <v>59</v>
      </c>
      <c r="D84" s="225">
        <v>4.0949999999999998</v>
      </c>
      <c r="E84" s="202">
        <v>15.65</v>
      </c>
      <c r="F84" s="224">
        <f>TRUNC((D84*E84),2)</f>
        <v>64.08</v>
      </c>
      <c r="H84" s="132">
        <f>2.73*1.5</f>
        <v>4.0949999999999998</v>
      </c>
    </row>
    <row r="85" spans="1:8" ht="28.5" customHeight="1">
      <c r="A85" s="388"/>
      <c r="B85" s="98"/>
      <c r="C85" s="99" t="s">
        <v>43</v>
      </c>
      <c r="D85" s="100" t="s">
        <v>43</v>
      </c>
      <c r="E85" s="295" t="s">
        <v>60</v>
      </c>
      <c r="F85" s="1618">
        <f>SUM(F83:F84)</f>
        <v>118.28999999999999</v>
      </c>
    </row>
    <row r="86" spans="1:8" ht="30" customHeight="1">
      <c r="A86" s="388"/>
      <c r="B86" s="1593" t="s">
        <v>95</v>
      </c>
      <c r="C86" s="94" t="s">
        <v>51</v>
      </c>
      <c r="D86" s="95" t="s">
        <v>52</v>
      </c>
      <c r="E86" s="107" t="s">
        <v>64</v>
      </c>
      <c r="F86" s="96" t="s">
        <v>54</v>
      </c>
    </row>
    <row r="87" spans="1:8" ht="29.25" customHeight="1">
      <c r="A87" s="361">
        <v>88630</v>
      </c>
      <c r="B87" s="204" t="s">
        <v>1214</v>
      </c>
      <c r="C87" s="99" t="s">
        <v>49</v>
      </c>
      <c r="D87" s="634">
        <v>8.1899999999999994E-3</v>
      </c>
      <c r="E87" s="223">
        <v>368.4</v>
      </c>
      <c r="F87" s="224">
        <f>TRUNC((D87*E87),2)</f>
        <v>3.01</v>
      </c>
      <c r="H87" s="132">
        <f>2.73*0.003</f>
        <v>8.1899999999999994E-3</v>
      </c>
    </row>
    <row r="88" spans="1:8" ht="51" customHeight="1">
      <c r="A88" s="361" t="s">
        <v>67</v>
      </c>
      <c r="B88" s="204" t="s">
        <v>1012</v>
      </c>
      <c r="C88" s="99" t="s">
        <v>57</v>
      </c>
      <c r="D88" s="226">
        <v>1</v>
      </c>
      <c r="E88" s="223">
        <v>3503</v>
      </c>
      <c r="F88" s="224">
        <f>TRUNC((D88*E88),2)</f>
        <v>3503</v>
      </c>
      <c r="G88" s="1029">
        <f>C97</f>
        <v>3503</v>
      </c>
      <c r="H88" s="517"/>
    </row>
    <row r="89" spans="1:8" ht="14.25" customHeight="1">
      <c r="A89" s="145"/>
      <c r="B89" s="191"/>
      <c r="C89" s="152"/>
      <c r="D89" s="192"/>
      <c r="E89" s="295" t="s">
        <v>60</v>
      </c>
      <c r="F89" s="96">
        <f>SUM(F87:F88)</f>
        <v>3506.01</v>
      </c>
      <c r="H89" s="517"/>
    </row>
    <row r="90" spans="1:8" ht="16.5" customHeight="1" thickBot="1">
      <c r="A90" s="104"/>
      <c r="B90" s="2100" t="s">
        <v>55</v>
      </c>
      <c r="C90" s="2100"/>
      <c r="D90" s="2100"/>
      <c r="E90" s="2100"/>
      <c r="F90" s="1624">
        <f>F85+F89</f>
        <v>3624.3</v>
      </c>
      <c r="H90" s="517"/>
    </row>
    <row r="91" spans="1:8" ht="51.75" customHeight="1" thickBot="1">
      <c r="A91" s="291"/>
      <c r="B91" s="292" t="s">
        <v>1024</v>
      </c>
      <c r="C91" s="2120" t="s">
        <v>1022</v>
      </c>
      <c r="D91" s="2120"/>
      <c r="E91" s="293"/>
      <c r="F91" s="656" t="s">
        <v>1023</v>
      </c>
      <c r="H91" s="346">
        <f>1.3*2.1</f>
        <v>2.7300000000000004</v>
      </c>
    </row>
    <row r="92" spans="1:8" ht="16.5" customHeight="1" thickBot="1">
      <c r="A92" s="104"/>
      <c r="B92" s="2069" t="s">
        <v>96</v>
      </c>
      <c r="C92" s="2070"/>
      <c r="D92" s="2070"/>
      <c r="E92" s="2071"/>
      <c r="F92" s="1596"/>
    </row>
    <row r="93" spans="1:8" ht="25.5" customHeight="1">
      <c r="A93" s="1718" t="s">
        <v>61</v>
      </c>
      <c r="B93" s="1719" t="s">
        <v>97</v>
      </c>
      <c r="C93" s="1720" t="s">
        <v>98</v>
      </c>
      <c r="D93" s="2072" t="s">
        <v>62</v>
      </c>
      <c r="E93" s="2072"/>
      <c r="F93" s="1721" t="s">
        <v>99</v>
      </c>
    </row>
    <row r="94" spans="1:8" ht="32.25" customHeight="1" thickBot="1">
      <c r="A94" s="1576">
        <v>44390</v>
      </c>
      <c r="B94" s="1577" t="s">
        <v>1618</v>
      </c>
      <c r="C94" s="1578">
        <v>3503</v>
      </c>
      <c r="D94" s="2091" t="s">
        <v>2300</v>
      </c>
      <c r="E94" s="2092"/>
      <c r="F94" s="1588" t="s">
        <v>2301</v>
      </c>
      <c r="H94" s="481"/>
    </row>
    <row r="95" spans="1:8" ht="34.5" customHeight="1">
      <c r="A95" s="1589">
        <v>44390</v>
      </c>
      <c r="B95" s="1590" t="s">
        <v>1620</v>
      </c>
      <c r="C95" s="1591">
        <v>6320</v>
      </c>
      <c r="D95" s="2093" t="s">
        <v>2302</v>
      </c>
      <c r="E95" s="2094"/>
      <c r="F95" s="1592" t="s">
        <v>1619</v>
      </c>
    </row>
    <row r="96" spans="1:8" ht="28.5" customHeight="1" thickBot="1">
      <c r="A96" s="1576">
        <v>44397</v>
      </c>
      <c r="B96" s="1577" t="s">
        <v>2303</v>
      </c>
      <c r="C96" s="1578">
        <v>3276</v>
      </c>
      <c r="D96" s="2091" t="s">
        <v>174</v>
      </c>
      <c r="E96" s="2092"/>
      <c r="F96" s="1588" t="s">
        <v>2304</v>
      </c>
    </row>
    <row r="97" spans="1:8" ht="15" customHeight="1" thickBot="1">
      <c r="A97" s="149"/>
      <c r="B97" s="312" t="s">
        <v>63</v>
      </c>
      <c r="C97" s="150">
        <f>MEDIAN(C94:C96)</f>
        <v>3503</v>
      </c>
      <c r="D97" s="2079"/>
      <c r="E97" s="2080"/>
      <c r="F97" s="151"/>
    </row>
    <row r="98" spans="1:8" ht="16.5" customHeight="1" thickBot="1">
      <c r="A98" s="201"/>
      <c r="B98" s="201"/>
      <c r="C98" s="201"/>
      <c r="D98" s="201"/>
      <c r="E98" s="201"/>
      <c r="F98" s="201"/>
    </row>
    <row r="99" spans="1:8" ht="30.75" customHeight="1">
      <c r="A99" s="158" t="s">
        <v>531</v>
      </c>
      <c r="B99" s="416" t="s">
        <v>1025</v>
      </c>
      <c r="C99" s="159" t="s">
        <v>57</v>
      </c>
      <c r="D99" s="160"/>
      <c r="E99" s="161"/>
      <c r="F99" s="162"/>
      <c r="H99" s="762" t="s">
        <v>628</v>
      </c>
    </row>
    <row r="100" spans="1:8" ht="16.5" customHeight="1">
      <c r="A100" s="2081" t="s">
        <v>1138</v>
      </c>
      <c r="B100" s="2082"/>
      <c r="C100" s="2082"/>
      <c r="D100" s="2082"/>
      <c r="E100" s="2082"/>
      <c r="F100" s="2083"/>
    </row>
    <row r="101" spans="1:8" ht="28.5" customHeight="1">
      <c r="A101" s="92"/>
      <c r="B101" s="93" t="s">
        <v>58</v>
      </c>
      <c r="C101" s="94" t="s">
        <v>51</v>
      </c>
      <c r="D101" s="95" t="s">
        <v>52</v>
      </c>
      <c r="E101" s="107" t="s">
        <v>64</v>
      </c>
      <c r="F101" s="96" t="s">
        <v>54</v>
      </c>
    </row>
    <row r="102" spans="1:8" ht="29.25" customHeight="1">
      <c r="A102" s="388"/>
      <c r="B102" s="103"/>
      <c r="C102" s="99"/>
      <c r="D102" s="226"/>
      <c r="E102" s="202"/>
      <c r="F102" s="224"/>
    </row>
    <row r="103" spans="1:8" ht="26.25" customHeight="1">
      <c r="A103" s="388"/>
      <c r="B103" s="98"/>
      <c r="C103" s="99" t="s">
        <v>43</v>
      </c>
      <c r="D103" s="100" t="s">
        <v>43</v>
      </c>
      <c r="E103" s="295" t="s">
        <v>60</v>
      </c>
      <c r="F103" s="96">
        <f>SUM(F102:F102)</f>
        <v>0</v>
      </c>
    </row>
    <row r="104" spans="1:8" ht="26.25" customHeight="1">
      <c r="A104" s="388"/>
      <c r="B104" s="1593" t="s">
        <v>95</v>
      </c>
      <c r="C104" s="94" t="s">
        <v>51</v>
      </c>
      <c r="D104" s="95" t="s">
        <v>52</v>
      </c>
      <c r="E104" s="107" t="s">
        <v>64</v>
      </c>
      <c r="F104" s="96" t="s">
        <v>54</v>
      </c>
    </row>
    <row r="105" spans="1:8" ht="30" customHeight="1">
      <c r="A105" s="494" t="s">
        <v>67</v>
      </c>
      <c r="B105" s="838" t="s">
        <v>2311</v>
      </c>
      <c r="C105" s="99" t="s">
        <v>57</v>
      </c>
      <c r="D105" s="225">
        <v>1</v>
      </c>
      <c r="E105" s="202">
        <v>1350</v>
      </c>
      <c r="F105" s="1594">
        <f>TRUNC((D105*E105),2)</f>
        <v>1350</v>
      </c>
    </row>
    <row r="106" spans="1:8" ht="30" customHeight="1">
      <c r="A106" s="520"/>
      <c r="B106" s="191"/>
      <c r="C106" s="152"/>
      <c r="D106" s="192"/>
      <c r="E106" s="295" t="s">
        <v>60</v>
      </c>
      <c r="F106" s="85">
        <f>SUM(F105:F105)</f>
        <v>1350</v>
      </c>
    </row>
    <row r="107" spans="1:8" ht="16.5" customHeight="1" thickBot="1">
      <c r="A107" s="104"/>
      <c r="B107" s="2084" t="s">
        <v>55</v>
      </c>
      <c r="C107" s="2084"/>
      <c r="D107" s="2084"/>
      <c r="E107" s="2084"/>
      <c r="F107" s="1596">
        <f>F103+F106</f>
        <v>1350</v>
      </c>
      <c r="H107" s="132">
        <f>1.68*0.58/2.142</f>
        <v>0.45490196078431372</v>
      </c>
    </row>
    <row r="108" spans="1:8" ht="13.5" customHeight="1">
      <c r="A108" s="194"/>
      <c r="B108" s="2076" t="s">
        <v>96</v>
      </c>
      <c r="C108" s="2077"/>
      <c r="D108" s="2077"/>
      <c r="E108" s="2078"/>
      <c r="F108" s="195"/>
      <c r="H108" s="132">
        <f>1.68*0.29/2.142</f>
        <v>0.22745098039215686</v>
      </c>
    </row>
    <row r="109" spans="1:8" ht="24.75" customHeight="1">
      <c r="A109" s="163" t="s">
        <v>61</v>
      </c>
      <c r="B109" s="107" t="s">
        <v>97</v>
      </c>
      <c r="C109" s="294" t="s">
        <v>98</v>
      </c>
      <c r="D109" s="2060" t="s">
        <v>62</v>
      </c>
      <c r="E109" s="2060"/>
      <c r="F109" s="164" t="s">
        <v>99</v>
      </c>
      <c r="H109" s="766"/>
    </row>
    <row r="110" spans="1:8" ht="28.5" customHeight="1">
      <c r="A110" s="222">
        <v>44385</v>
      </c>
      <c r="B110" s="204" t="s">
        <v>1310</v>
      </c>
      <c r="C110" s="202">
        <v>1181.79</v>
      </c>
      <c r="D110" s="2061" t="s">
        <v>1308</v>
      </c>
      <c r="E110" s="2062"/>
      <c r="F110" s="148" t="s">
        <v>1309</v>
      </c>
      <c r="G110" s="425"/>
      <c r="H110" s="132">
        <f>1.68*0.58/2.142</f>
        <v>0.45490196078431372</v>
      </c>
    </row>
    <row r="111" spans="1:8" ht="28.5" customHeight="1">
      <c r="A111" s="222">
        <v>44396</v>
      </c>
      <c r="B111" s="204" t="s">
        <v>2305</v>
      </c>
      <c r="C111" s="202">
        <v>1860</v>
      </c>
      <c r="D111" s="2061" t="s">
        <v>2306</v>
      </c>
      <c r="E111" s="2062"/>
      <c r="F111" s="148" t="s">
        <v>2307</v>
      </c>
    </row>
    <row r="112" spans="1:8" ht="16.5" customHeight="1">
      <c r="A112" s="222">
        <v>44390</v>
      </c>
      <c r="B112" s="406" t="s">
        <v>2308</v>
      </c>
      <c r="C112" s="202">
        <v>1350</v>
      </c>
      <c r="D112" s="2061" t="s">
        <v>2309</v>
      </c>
      <c r="E112" s="2062"/>
      <c r="F112" s="148" t="s">
        <v>2310</v>
      </c>
    </row>
    <row r="113" spans="1:10" ht="14.25" customHeight="1" thickBot="1">
      <c r="A113" s="149"/>
      <c r="B113" s="312" t="s">
        <v>63</v>
      </c>
      <c r="C113" s="150">
        <f>MEDIAN(C110:C112)</f>
        <v>1350</v>
      </c>
      <c r="D113" s="2079"/>
      <c r="E113" s="2080"/>
      <c r="F113" s="151"/>
      <c r="H113" s="765">
        <f>0.8*2.1</f>
        <v>1.6800000000000002</v>
      </c>
    </row>
    <row r="114" spans="1:10" ht="16.5" customHeight="1" thickBot="1">
      <c r="A114" s="298"/>
      <c r="B114" s="772"/>
      <c r="C114" s="770"/>
      <c r="D114" s="201"/>
      <c r="E114" s="201"/>
      <c r="F114" s="298"/>
    </row>
    <row r="115" spans="1:10" ht="39" customHeight="1">
      <c r="A115" s="158" t="s">
        <v>154</v>
      </c>
      <c r="B115" s="518" t="s">
        <v>1053</v>
      </c>
      <c r="C115" s="159" t="s">
        <v>57</v>
      </c>
      <c r="D115" s="160"/>
      <c r="E115" s="160"/>
      <c r="F115" s="396"/>
    </row>
    <row r="116" spans="1:10" ht="17.25" customHeight="1">
      <c r="A116" s="2054" t="s">
        <v>388</v>
      </c>
      <c r="B116" s="2055"/>
      <c r="C116" s="2055"/>
      <c r="D116" s="2055"/>
      <c r="E116" s="2055"/>
      <c r="F116" s="2056"/>
    </row>
    <row r="117" spans="1:10" ht="24.75" customHeight="1">
      <c r="A117" s="1015"/>
      <c r="B117" s="1024" t="s">
        <v>58</v>
      </c>
      <c r="C117" s="94" t="s">
        <v>51</v>
      </c>
      <c r="D117" s="95" t="s">
        <v>52</v>
      </c>
      <c r="E117" s="258" t="s">
        <v>64</v>
      </c>
      <c r="F117" s="1016" t="s">
        <v>54</v>
      </c>
    </row>
    <row r="118" spans="1:10" ht="30" customHeight="1">
      <c r="A118" s="388">
        <v>88267</v>
      </c>
      <c r="B118" s="204" t="s">
        <v>103</v>
      </c>
      <c r="C118" s="99" t="s">
        <v>59</v>
      </c>
      <c r="D118" s="225">
        <v>0.94850000000000001</v>
      </c>
      <c r="E118" s="223">
        <v>19.920000000000002</v>
      </c>
      <c r="F118" s="1594">
        <f>TRUNC((D118*E118),2)</f>
        <v>18.89</v>
      </c>
    </row>
    <row r="119" spans="1:10" ht="16.5" customHeight="1">
      <c r="A119" s="1019">
        <v>88316</v>
      </c>
      <c r="B119" s="402" t="s">
        <v>68</v>
      </c>
      <c r="C119" s="99" t="s">
        <v>59</v>
      </c>
      <c r="D119" s="225">
        <v>0.29880000000000001</v>
      </c>
      <c r="E119" s="223">
        <v>15.65</v>
      </c>
      <c r="F119" s="1594">
        <f>TRUNC((D119*E119),2)</f>
        <v>4.67</v>
      </c>
    </row>
    <row r="120" spans="1:10" ht="16.5" customHeight="1">
      <c r="A120" s="1711"/>
      <c r="B120" s="1020"/>
      <c r="C120" s="32" t="s">
        <v>43</v>
      </c>
      <c r="D120" s="100" t="s">
        <v>43</v>
      </c>
      <c r="E120" s="100"/>
      <c r="F120" s="1016">
        <f>SUM(F118:F119)</f>
        <v>23.560000000000002</v>
      </c>
    </row>
    <row r="121" spans="1:10" ht="27" customHeight="1">
      <c r="A121" s="1711"/>
      <c r="B121" s="1024" t="s">
        <v>95</v>
      </c>
      <c r="C121" s="94" t="s">
        <v>51</v>
      </c>
      <c r="D121" s="95" t="s">
        <v>52</v>
      </c>
      <c r="E121" s="258" t="s">
        <v>64</v>
      </c>
      <c r="F121" s="1016" t="s">
        <v>54</v>
      </c>
    </row>
    <row r="122" spans="1:10" ht="24" customHeight="1">
      <c r="A122" s="361" t="s">
        <v>67</v>
      </c>
      <c r="B122" s="204" t="s">
        <v>387</v>
      </c>
      <c r="C122" s="99" t="s">
        <v>57</v>
      </c>
      <c r="D122" s="390">
        <v>1</v>
      </c>
      <c r="E122" s="223">
        <v>157.55000000000001</v>
      </c>
      <c r="F122" s="1594">
        <f>TRUNC((D122*E122),2)</f>
        <v>157.55000000000001</v>
      </c>
    </row>
    <row r="123" spans="1:10" ht="40.5" customHeight="1">
      <c r="A123" s="397">
        <v>4351</v>
      </c>
      <c r="B123" s="204" t="s">
        <v>386</v>
      </c>
      <c r="C123" s="99" t="s">
        <v>57</v>
      </c>
      <c r="D123" s="390">
        <v>6</v>
      </c>
      <c r="E123" s="223">
        <v>9.24</v>
      </c>
      <c r="F123" s="1594">
        <f>TRUNC((D123*E123),2)</f>
        <v>55.44</v>
      </c>
      <c r="H123" s="767" t="s">
        <v>1029</v>
      </c>
      <c r="I123" s="61"/>
      <c r="J123" s="61"/>
    </row>
    <row r="124" spans="1:10" ht="16.5" customHeight="1">
      <c r="A124" s="145"/>
      <c r="B124" s="191"/>
      <c r="C124" s="152"/>
      <c r="D124" s="192"/>
      <c r="E124" s="192"/>
      <c r="F124" s="96">
        <f>SUM(F122:F123)</f>
        <v>212.99</v>
      </c>
      <c r="I124" s="407"/>
      <c r="J124" s="407"/>
    </row>
    <row r="125" spans="1:10" ht="16.5" customHeight="1" thickBot="1">
      <c r="A125" s="104"/>
      <c r="B125" s="2095" t="s">
        <v>55</v>
      </c>
      <c r="C125" s="2096"/>
      <c r="D125" s="2096"/>
      <c r="E125" s="2096"/>
      <c r="F125" s="1624">
        <f>F120+F124</f>
        <v>236.55</v>
      </c>
      <c r="I125" s="407"/>
      <c r="J125" s="407"/>
    </row>
    <row r="126" spans="1:10" ht="15" customHeight="1">
      <c r="A126" s="194"/>
      <c r="B126" s="2076" t="s">
        <v>96</v>
      </c>
      <c r="C126" s="2077"/>
      <c r="D126" s="2077"/>
      <c r="E126" s="2078"/>
      <c r="F126" s="195"/>
      <c r="I126" s="61"/>
      <c r="J126" s="61"/>
    </row>
    <row r="127" spans="1:10" ht="27.75" customHeight="1">
      <c r="A127" s="163" t="s">
        <v>61</v>
      </c>
      <c r="B127" s="107" t="s">
        <v>97</v>
      </c>
      <c r="C127" s="294" t="s">
        <v>98</v>
      </c>
      <c r="D127" s="2060" t="s">
        <v>62</v>
      </c>
      <c r="E127" s="2060"/>
      <c r="F127" s="164" t="s">
        <v>99</v>
      </c>
    </row>
    <row r="128" spans="1:10" ht="32.25" customHeight="1">
      <c r="A128" s="222">
        <v>44239</v>
      </c>
      <c r="B128" s="204" t="s">
        <v>2312</v>
      </c>
      <c r="C128" s="202">
        <v>230</v>
      </c>
      <c r="D128" s="2061" t="s">
        <v>2313</v>
      </c>
      <c r="E128" s="2062"/>
      <c r="F128" s="148" t="s">
        <v>2314</v>
      </c>
      <c r="H128" s="61"/>
    </row>
    <row r="129" spans="1:8" ht="29.25" customHeight="1">
      <c r="A129" s="222">
        <v>44229</v>
      </c>
      <c r="B129" s="204" t="s">
        <v>175</v>
      </c>
      <c r="C129" s="202">
        <v>157.55000000000001</v>
      </c>
      <c r="D129" s="2061" t="s">
        <v>2315</v>
      </c>
      <c r="E129" s="2062"/>
      <c r="F129" s="148" t="s">
        <v>2316</v>
      </c>
      <c r="H129" s="408"/>
    </row>
    <row r="130" spans="1:8" ht="25.5">
      <c r="A130" s="222">
        <v>44230</v>
      </c>
      <c r="B130" s="406" t="s">
        <v>2317</v>
      </c>
      <c r="C130" s="202">
        <v>119.9</v>
      </c>
      <c r="D130" s="2061" t="s">
        <v>2262</v>
      </c>
      <c r="E130" s="2062"/>
      <c r="F130" s="148" t="s">
        <v>2263</v>
      </c>
      <c r="H130" s="407"/>
    </row>
    <row r="131" spans="1:8" ht="15.75" thickBot="1">
      <c r="A131" s="149"/>
      <c r="B131" s="312" t="s">
        <v>63</v>
      </c>
      <c r="C131" s="150">
        <f>MEDIAN(C128:C130)</f>
        <v>157.55000000000001</v>
      </c>
      <c r="D131" s="2079"/>
      <c r="E131" s="2080"/>
      <c r="F131" s="151"/>
      <c r="H131" s="61"/>
    </row>
    <row r="132" spans="1:8" ht="15.75" thickBot="1">
      <c r="A132" s="201"/>
      <c r="B132" s="201"/>
      <c r="C132" s="201"/>
      <c r="D132" s="201"/>
      <c r="E132" s="201"/>
      <c r="F132" s="201"/>
    </row>
    <row r="133" spans="1:8" ht="18.75" customHeight="1">
      <c r="A133" s="158" t="s">
        <v>533</v>
      </c>
      <c r="B133" s="416" t="s">
        <v>1006</v>
      </c>
      <c r="C133" s="159" t="s">
        <v>57</v>
      </c>
      <c r="D133" s="160"/>
      <c r="E133" s="161"/>
      <c r="F133" s="162"/>
      <c r="H133" s="762" t="s">
        <v>334</v>
      </c>
    </row>
    <row r="134" spans="1:8" ht="15" customHeight="1">
      <c r="A134" s="2081" t="s">
        <v>1138</v>
      </c>
      <c r="B134" s="2082"/>
      <c r="C134" s="2082"/>
      <c r="D134" s="2082"/>
      <c r="E134" s="2082"/>
      <c r="F134" s="2083"/>
    </row>
    <row r="135" spans="1:8" ht="30">
      <c r="A135" s="92"/>
      <c r="B135" s="93" t="s">
        <v>58</v>
      </c>
      <c r="C135" s="94" t="s">
        <v>51</v>
      </c>
      <c r="D135" s="95" t="s">
        <v>52</v>
      </c>
      <c r="E135" s="107" t="s">
        <v>64</v>
      </c>
      <c r="F135" s="96" t="s">
        <v>54</v>
      </c>
      <c r="G135" s="391"/>
    </row>
    <row r="136" spans="1:8">
      <c r="A136" s="388"/>
      <c r="B136" s="103"/>
      <c r="C136" s="99"/>
      <c r="D136" s="226"/>
      <c r="E136" s="202"/>
      <c r="F136" s="224"/>
      <c r="G136" s="395"/>
      <c r="H136" s="46"/>
    </row>
    <row r="137" spans="1:8">
      <c r="A137" s="388"/>
      <c r="B137" s="98"/>
      <c r="C137" s="99" t="s">
        <v>43</v>
      </c>
      <c r="D137" s="100" t="s">
        <v>43</v>
      </c>
      <c r="E137" s="295" t="s">
        <v>60</v>
      </c>
      <c r="F137" s="96">
        <f>SUM(F136:F136)</f>
        <v>0</v>
      </c>
      <c r="G137" s="393"/>
    </row>
    <row r="138" spans="1:8" ht="30">
      <c r="A138" s="388"/>
      <c r="B138" s="1593" t="s">
        <v>95</v>
      </c>
      <c r="C138" s="94" t="s">
        <v>51</v>
      </c>
      <c r="D138" s="95" t="s">
        <v>52</v>
      </c>
      <c r="E138" s="107" t="s">
        <v>64</v>
      </c>
      <c r="F138" s="96" t="s">
        <v>54</v>
      </c>
      <c r="G138" s="393"/>
    </row>
    <row r="139" spans="1:8" ht="25.5">
      <c r="A139" s="1770" t="s">
        <v>67</v>
      </c>
      <c r="B139" s="1771" t="s">
        <v>1222</v>
      </c>
      <c r="C139" s="1772" t="s">
        <v>57</v>
      </c>
      <c r="D139" s="1773">
        <v>1</v>
      </c>
      <c r="E139" s="1573">
        <v>1307.3399999999999</v>
      </c>
      <c r="F139" s="1594">
        <f>TRUNC((D139*E139),2)</f>
        <v>1307.3399999999999</v>
      </c>
      <c r="G139" s="393"/>
    </row>
    <row r="140" spans="1:8" ht="25.5">
      <c r="A140" s="494" t="s">
        <v>154</v>
      </c>
      <c r="B140" s="204" t="s">
        <v>532</v>
      </c>
      <c r="C140" s="99" t="s">
        <v>57</v>
      </c>
      <c r="D140" s="226">
        <v>1</v>
      </c>
      <c r="E140" s="202">
        <v>236.55</v>
      </c>
      <c r="F140" s="1774">
        <f>TRUNC((D140*E140),2)</f>
        <v>236.55</v>
      </c>
      <c r="G140" s="393"/>
    </row>
    <row r="141" spans="1:8">
      <c r="A141" s="520"/>
      <c r="B141" s="191"/>
      <c r="C141" s="152"/>
      <c r="D141" s="192"/>
      <c r="E141" s="295" t="s">
        <v>60</v>
      </c>
      <c r="F141" s="85">
        <f>SUM(F139:F140)</f>
        <v>1543.8899999999999</v>
      </c>
      <c r="G141" s="393"/>
    </row>
    <row r="142" spans="1:8" ht="18" customHeight="1" thickBot="1">
      <c r="A142" s="104"/>
      <c r="B142" s="2084" t="s">
        <v>55</v>
      </c>
      <c r="C142" s="2084"/>
      <c r="D142" s="2084"/>
      <c r="E142" s="2084"/>
      <c r="F142" s="1596">
        <f>F137+F141</f>
        <v>1543.8899999999999</v>
      </c>
      <c r="G142" s="889"/>
    </row>
    <row r="143" spans="1:8">
      <c r="A143" s="194"/>
      <c r="B143" s="2076" t="s">
        <v>96</v>
      </c>
      <c r="C143" s="2077"/>
      <c r="D143" s="2077"/>
      <c r="E143" s="2078"/>
      <c r="F143" s="195"/>
      <c r="G143" s="889"/>
    </row>
    <row r="144" spans="1:8" ht="27" customHeight="1">
      <c r="A144" s="163" t="s">
        <v>61</v>
      </c>
      <c r="B144" s="107" t="s">
        <v>97</v>
      </c>
      <c r="C144" s="294" t="s">
        <v>98</v>
      </c>
      <c r="D144" s="2060" t="s">
        <v>62</v>
      </c>
      <c r="E144" s="2060"/>
      <c r="F144" s="164" t="s">
        <v>99</v>
      </c>
      <c r="G144" s="393"/>
    </row>
    <row r="145" spans="1:8" ht="28.5" customHeight="1">
      <c r="A145" s="222">
        <v>44385</v>
      </c>
      <c r="B145" s="204" t="s">
        <v>1310</v>
      </c>
      <c r="C145" s="202">
        <v>1307.3399999999999</v>
      </c>
      <c r="D145" s="2061" t="s">
        <v>1308</v>
      </c>
      <c r="E145" s="2062"/>
      <c r="F145" s="148" t="s">
        <v>1309</v>
      </c>
      <c r="G145" s="393"/>
      <c r="H145" s="1601" t="s">
        <v>2318</v>
      </c>
    </row>
    <row r="146" spans="1:8" ht="25.5">
      <c r="A146" s="222">
        <v>44396</v>
      </c>
      <c r="B146" s="204" t="s">
        <v>2305</v>
      </c>
      <c r="C146" s="202">
        <v>1860</v>
      </c>
      <c r="D146" s="2061" t="s">
        <v>2306</v>
      </c>
      <c r="E146" s="2062"/>
      <c r="F146" s="148" t="s">
        <v>2307</v>
      </c>
      <c r="G146" s="392"/>
    </row>
    <row r="147" spans="1:8">
      <c r="A147" s="222">
        <v>44390</v>
      </c>
      <c r="B147" s="406" t="s">
        <v>2308</v>
      </c>
      <c r="C147" s="202">
        <v>800</v>
      </c>
      <c r="D147" s="2061" t="s">
        <v>2309</v>
      </c>
      <c r="E147" s="2062"/>
      <c r="F147" s="148" t="s">
        <v>2310</v>
      </c>
      <c r="G147" s="392"/>
    </row>
    <row r="148" spans="1:8" ht="15.75" thickBot="1">
      <c r="A148" s="149"/>
      <c r="B148" s="312" t="s">
        <v>63</v>
      </c>
      <c r="C148" s="150">
        <f>MEDIAN(C145:C147)</f>
        <v>1307.3399999999999</v>
      </c>
      <c r="D148" s="2079"/>
      <c r="E148" s="2080"/>
      <c r="F148" s="151"/>
      <c r="G148" s="392"/>
    </row>
    <row r="149" spans="1:8" ht="15.75" thickBot="1">
      <c r="A149" s="418"/>
      <c r="B149" s="521"/>
      <c r="C149" s="522"/>
      <c r="D149" s="523"/>
      <c r="E149" s="523"/>
      <c r="F149" s="524"/>
      <c r="G149" s="392"/>
    </row>
    <row r="150" spans="1:8" ht="15.75" thickBot="1">
      <c r="A150" s="1722" t="s">
        <v>536</v>
      </c>
      <c r="B150" s="1723" t="s">
        <v>1008</v>
      </c>
      <c r="C150" s="188" t="s">
        <v>48</v>
      </c>
      <c r="D150" s="1669"/>
      <c r="E150" s="1670"/>
      <c r="F150" s="1724"/>
      <c r="G150" s="394"/>
    </row>
    <row r="151" spans="1:8">
      <c r="A151" s="2097" t="s">
        <v>1317</v>
      </c>
      <c r="B151" s="2098"/>
      <c r="C151" s="2098"/>
      <c r="D151" s="2098"/>
      <c r="E151" s="2098"/>
      <c r="F151" s="2099"/>
    </row>
    <row r="152" spans="1:8" ht="30">
      <c r="A152" s="92"/>
      <c r="B152" s="93" t="s">
        <v>58</v>
      </c>
      <c r="C152" s="94" t="s">
        <v>51</v>
      </c>
      <c r="D152" s="95" t="s">
        <v>52</v>
      </c>
      <c r="E152" s="107" t="s">
        <v>64</v>
      </c>
      <c r="F152" s="96" t="s">
        <v>54</v>
      </c>
    </row>
    <row r="153" spans="1:8">
      <c r="A153" s="388">
        <v>88315</v>
      </c>
      <c r="B153" s="204" t="s">
        <v>932</v>
      </c>
      <c r="C153" s="99" t="s">
        <v>59</v>
      </c>
      <c r="D153" s="225">
        <v>0.97740000000000005</v>
      </c>
      <c r="E153" s="202">
        <v>19.75</v>
      </c>
      <c r="F153" s="1594">
        <f>TRUNC((D153*E153),2)</f>
        <v>19.3</v>
      </c>
    </row>
    <row r="154" spans="1:8">
      <c r="A154" s="388">
        <v>88316</v>
      </c>
      <c r="B154" s="204" t="s">
        <v>68</v>
      </c>
      <c r="C154" s="99" t="s">
        <v>59</v>
      </c>
      <c r="D154" s="225">
        <v>0.97740000000000005</v>
      </c>
      <c r="E154" s="202">
        <v>15.65</v>
      </c>
      <c r="F154" s="1594">
        <f>TRUNC((D154*E154),2)</f>
        <v>15.29</v>
      </c>
    </row>
    <row r="155" spans="1:8">
      <c r="A155" s="388"/>
      <c r="B155" s="98"/>
      <c r="C155" s="99" t="s">
        <v>43</v>
      </c>
      <c r="D155" s="100" t="s">
        <v>43</v>
      </c>
      <c r="E155" s="295" t="s">
        <v>60</v>
      </c>
      <c r="F155" s="1618">
        <f>SUM(F153:F154)</f>
        <v>34.590000000000003</v>
      </c>
    </row>
    <row r="156" spans="1:8" ht="30">
      <c r="A156" s="388"/>
      <c r="B156" s="1593" t="s">
        <v>95</v>
      </c>
      <c r="C156" s="94" t="s">
        <v>51</v>
      </c>
      <c r="D156" s="95" t="s">
        <v>52</v>
      </c>
      <c r="E156" s="107" t="s">
        <v>64</v>
      </c>
      <c r="F156" s="96" t="s">
        <v>54</v>
      </c>
    </row>
    <row r="157" spans="1:8" ht="25.5">
      <c r="A157" s="494" t="s">
        <v>67</v>
      </c>
      <c r="B157" s="519" t="s">
        <v>535</v>
      </c>
      <c r="C157" s="350" t="s">
        <v>48</v>
      </c>
      <c r="D157" s="226">
        <v>1.02</v>
      </c>
      <c r="E157" s="223">
        <v>605.38</v>
      </c>
      <c r="F157" s="1594">
        <f>TRUNC((D157*E157),2)</f>
        <v>617.48</v>
      </c>
      <c r="G157" s="573"/>
    </row>
    <row r="158" spans="1:8" ht="38.25">
      <c r="A158" s="1725">
        <v>94962</v>
      </c>
      <c r="B158" s="204" t="s">
        <v>1318</v>
      </c>
      <c r="C158" s="350" t="s">
        <v>49</v>
      </c>
      <c r="D158" s="225">
        <v>4.4999999999999997E-3</v>
      </c>
      <c r="E158" s="223">
        <v>302.14999999999998</v>
      </c>
      <c r="F158" s="1594">
        <f>TRUNC((D158*E158),2)</f>
        <v>1.35</v>
      </c>
    </row>
    <row r="159" spans="1:8">
      <c r="A159" s="520"/>
      <c r="B159" s="191"/>
      <c r="C159" s="152"/>
      <c r="D159" s="192"/>
      <c r="E159" s="295" t="s">
        <v>60</v>
      </c>
      <c r="F159" s="96">
        <f>SUM(F157:F157)</f>
        <v>617.48</v>
      </c>
    </row>
    <row r="160" spans="1:8" ht="15" customHeight="1" thickBot="1">
      <c r="A160" s="104"/>
      <c r="B160" s="2084" t="s">
        <v>55</v>
      </c>
      <c r="C160" s="2084"/>
      <c r="D160" s="2084"/>
      <c r="E160" s="2084"/>
      <c r="F160" s="1596">
        <f>F155+F159</f>
        <v>652.07000000000005</v>
      </c>
    </row>
    <row r="161" spans="1:8" ht="30.75" customHeight="1" thickBot="1">
      <c r="A161" s="1603"/>
      <c r="B161" s="1662" t="s">
        <v>2320</v>
      </c>
      <c r="C161" s="2132" t="s">
        <v>2321</v>
      </c>
      <c r="D161" s="2133"/>
      <c r="E161" s="2133"/>
      <c r="F161" s="1604" t="s">
        <v>2322</v>
      </c>
      <c r="G161" s="839">
        <f>C167</f>
        <v>2700</v>
      </c>
    </row>
    <row r="162" spans="1:8">
      <c r="A162" s="194"/>
      <c r="B162" s="2076" t="s">
        <v>96</v>
      </c>
      <c r="C162" s="2077"/>
      <c r="D162" s="2077"/>
      <c r="E162" s="2078"/>
      <c r="F162" s="195"/>
    </row>
    <row r="163" spans="1:8" ht="25.5">
      <c r="A163" s="163" t="s">
        <v>61</v>
      </c>
      <c r="B163" s="107" t="s">
        <v>97</v>
      </c>
      <c r="C163" s="294" t="s">
        <v>98</v>
      </c>
      <c r="D163" s="2060" t="s">
        <v>62</v>
      </c>
      <c r="E163" s="2060"/>
      <c r="F163" s="164" t="s">
        <v>99</v>
      </c>
    </row>
    <row r="164" spans="1:8" ht="29.25" customHeight="1">
      <c r="A164" s="222">
        <v>44403</v>
      </c>
      <c r="B164" s="204" t="s">
        <v>2272</v>
      </c>
      <c r="C164" s="202">
        <v>4550</v>
      </c>
      <c r="D164" s="2061" t="s">
        <v>2273</v>
      </c>
      <c r="E164" s="2062"/>
      <c r="F164" s="148" t="s">
        <v>2274</v>
      </c>
      <c r="H164" s="1581" t="s">
        <v>2319</v>
      </c>
    </row>
    <row r="165" spans="1:8" ht="25.5">
      <c r="A165" s="222">
        <v>44403</v>
      </c>
      <c r="B165" s="204" t="s">
        <v>2275</v>
      </c>
      <c r="C165" s="202">
        <v>2700</v>
      </c>
      <c r="D165" s="2061" t="s">
        <v>2276</v>
      </c>
      <c r="E165" s="2062"/>
      <c r="F165" s="148" t="s">
        <v>2277</v>
      </c>
      <c r="H165" s="1602"/>
    </row>
    <row r="166" spans="1:8" ht="30">
      <c r="A166" s="222">
        <v>44389</v>
      </c>
      <c r="B166" s="406" t="s">
        <v>2278</v>
      </c>
      <c r="C166" s="202">
        <v>2240</v>
      </c>
      <c r="D166" s="2061" t="s">
        <v>2279</v>
      </c>
      <c r="E166" s="2062"/>
      <c r="F166" s="1575" t="s">
        <v>2280</v>
      </c>
    </row>
    <row r="167" spans="1:8" ht="15.75" thickBot="1">
      <c r="A167" s="149"/>
      <c r="B167" s="312" t="s">
        <v>63</v>
      </c>
      <c r="C167" s="150">
        <f>MEDIAN(C164:C166)</f>
        <v>2700</v>
      </c>
      <c r="D167" s="2079"/>
      <c r="E167" s="2080"/>
      <c r="F167" s="151"/>
    </row>
    <row r="168" spans="1:8" ht="15.75" thickBot="1">
      <c r="A168" s="525"/>
      <c r="B168" s="526"/>
      <c r="C168" s="527"/>
      <c r="D168" s="528"/>
      <c r="E168" s="529"/>
      <c r="F168" s="528"/>
    </row>
    <row r="169" spans="1:8" ht="34.5" customHeight="1">
      <c r="A169" s="158" t="s">
        <v>105</v>
      </c>
      <c r="B169" s="416" t="s">
        <v>2324</v>
      </c>
      <c r="C169" s="159" t="s">
        <v>57</v>
      </c>
      <c r="D169" s="160"/>
      <c r="E169" s="161"/>
      <c r="F169" s="162"/>
    </row>
    <row r="170" spans="1:8" ht="15" customHeight="1" thickBot="1">
      <c r="A170" s="2088" t="s">
        <v>534</v>
      </c>
      <c r="B170" s="2089"/>
      <c r="C170" s="2089"/>
      <c r="D170" s="2089"/>
      <c r="E170" s="2089"/>
      <c r="F170" s="2090"/>
    </row>
    <row r="171" spans="1:8" ht="30">
      <c r="A171" s="1767"/>
      <c r="B171" s="1768" t="s">
        <v>58</v>
      </c>
      <c r="C171" s="1745" t="s">
        <v>51</v>
      </c>
      <c r="D171" s="1746" t="s">
        <v>52</v>
      </c>
      <c r="E171" s="1719" t="s">
        <v>64</v>
      </c>
      <c r="F171" s="1769" t="s">
        <v>54</v>
      </c>
    </row>
    <row r="172" spans="1:8">
      <c r="A172" s="388"/>
      <c r="B172" s="1025"/>
      <c r="C172" s="99"/>
      <c r="D172" s="226"/>
      <c r="E172" s="202"/>
      <c r="F172" s="224"/>
    </row>
    <row r="173" spans="1:8">
      <c r="A173" s="388"/>
      <c r="B173" s="98"/>
      <c r="C173" s="99" t="s">
        <v>43</v>
      </c>
      <c r="D173" s="100" t="s">
        <v>43</v>
      </c>
      <c r="E173" s="295" t="s">
        <v>60</v>
      </c>
      <c r="F173" s="1618">
        <f>SUM(F172:F172)</f>
        <v>0</v>
      </c>
    </row>
    <row r="174" spans="1:8" ht="30">
      <c r="A174" s="388"/>
      <c r="B174" s="1593" t="s">
        <v>95</v>
      </c>
      <c r="C174" s="94" t="s">
        <v>51</v>
      </c>
      <c r="D174" s="95" t="s">
        <v>52</v>
      </c>
      <c r="E174" s="107" t="s">
        <v>64</v>
      </c>
      <c r="F174" s="96" t="s">
        <v>54</v>
      </c>
    </row>
    <row r="175" spans="1:8" ht="31.5" customHeight="1">
      <c r="A175" s="494" t="s">
        <v>67</v>
      </c>
      <c r="B175" s="519" t="s">
        <v>2325</v>
      </c>
      <c r="C175" s="99" t="s">
        <v>57</v>
      </c>
      <c r="D175" s="226">
        <v>1</v>
      </c>
      <c r="E175" s="223">
        <v>2700</v>
      </c>
      <c r="F175" s="1594">
        <f>TRUNC((D175*E175),2)</f>
        <v>2700</v>
      </c>
    </row>
    <row r="176" spans="1:8">
      <c r="A176" s="520"/>
      <c r="B176" s="191"/>
      <c r="C176" s="152"/>
      <c r="D176" s="192"/>
      <c r="E176" s="295" t="s">
        <v>60</v>
      </c>
      <c r="F176" s="96">
        <f>SUM(F175:F175)</f>
        <v>2700</v>
      </c>
    </row>
    <row r="177" spans="1:7" ht="15.75" thickBot="1">
      <c r="A177" s="104"/>
      <c r="B177" s="2084" t="s">
        <v>55</v>
      </c>
      <c r="C177" s="2084"/>
      <c r="D177" s="2084"/>
      <c r="E177" s="2084"/>
      <c r="F177" s="1596">
        <f>F173+F176</f>
        <v>2700</v>
      </c>
    </row>
    <row r="178" spans="1:7">
      <c r="A178" s="194"/>
      <c r="B178" s="2076" t="s">
        <v>96</v>
      </c>
      <c r="C178" s="2077"/>
      <c r="D178" s="2077"/>
      <c r="E178" s="2078"/>
      <c r="F178" s="195"/>
    </row>
    <row r="179" spans="1:7" ht="25.5">
      <c r="A179" s="163" t="s">
        <v>61</v>
      </c>
      <c r="B179" s="107" t="s">
        <v>97</v>
      </c>
      <c r="C179" s="294" t="s">
        <v>98</v>
      </c>
      <c r="D179" s="2060" t="s">
        <v>62</v>
      </c>
      <c r="E179" s="2060"/>
      <c r="F179" s="164" t="s">
        <v>99</v>
      </c>
    </row>
    <row r="180" spans="1:7" ht="26.25" thickBot="1">
      <c r="A180" s="1576">
        <v>44403</v>
      </c>
      <c r="B180" s="1577" t="s">
        <v>2272</v>
      </c>
      <c r="C180" s="1578">
        <v>2590</v>
      </c>
      <c r="D180" s="2091" t="s">
        <v>2273</v>
      </c>
      <c r="E180" s="2092"/>
      <c r="F180" s="1579" t="s">
        <v>2274</v>
      </c>
    </row>
    <row r="181" spans="1:7" ht="25.5">
      <c r="A181" s="1726">
        <v>44403</v>
      </c>
      <c r="B181" s="1727" t="s">
        <v>2275</v>
      </c>
      <c r="C181" s="1728">
        <v>2700</v>
      </c>
      <c r="D181" s="2093" t="s">
        <v>2276</v>
      </c>
      <c r="E181" s="2094"/>
      <c r="F181" s="1729" t="s">
        <v>2277</v>
      </c>
    </row>
    <row r="182" spans="1:7" ht="30">
      <c r="A182" s="222">
        <v>44389</v>
      </c>
      <c r="B182" s="406" t="s">
        <v>2278</v>
      </c>
      <c r="C182" s="202">
        <v>2995</v>
      </c>
      <c r="D182" s="2065" t="s">
        <v>2279</v>
      </c>
      <c r="E182" s="2065"/>
      <c r="F182" s="1575" t="s">
        <v>2280</v>
      </c>
    </row>
    <row r="183" spans="1:7" ht="15.75" thickBot="1">
      <c r="A183" s="149"/>
      <c r="B183" s="312" t="s">
        <v>63</v>
      </c>
      <c r="C183" s="150">
        <f>MEDIAN(C180:C182)</f>
        <v>2700</v>
      </c>
      <c r="D183" s="2079"/>
      <c r="E183" s="2080"/>
      <c r="F183" s="151"/>
    </row>
    <row r="184" spans="1:7" ht="15.75" thickBot="1">
      <c r="A184" s="525"/>
      <c r="B184" s="526"/>
      <c r="C184" s="527"/>
      <c r="D184" s="528"/>
      <c r="E184" s="529"/>
      <c r="F184" s="528"/>
    </row>
    <row r="185" spans="1:7" ht="25.5">
      <c r="A185" s="158" t="s">
        <v>106</v>
      </c>
      <c r="B185" s="416" t="s">
        <v>1009</v>
      </c>
      <c r="C185" s="159" t="s">
        <v>57</v>
      </c>
      <c r="D185" s="160"/>
      <c r="E185" s="161"/>
      <c r="F185" s="162"/>
    </row>
    <row r="186" spans="1:7">
      <c r="A186" s="2081" t="s">
        <v>534</v>
      </c>
      <c r="B186" s="2082"/>
      <c r="C186" s="2082"/>
      <c r="D186" s="2082"/>
      <c r="E186" s="2082"/>
      <c r="F186" s="2083"/>
    </row>
    <row r="187" spans="1:7" ht="30">
      <c r="A187" s="92"/>
      <c r="B187" s="93" t="s">
        <v>58</v>
      </c>
      <c r="C187" s="94" t="s">
        <v>51</v>
      </c>
      <c r="D187" s="95" t="s">
        <v>52</v>
      </c>
      <c r="E187" s="107" t="s">
        <v>64</v>
      </c>
      <c r="F187" s="96" t="s">
        <v>54</v>
      </c>
    </row>
    <row r="188" spans="1:7">
      <c r="A188" s="388"/>
      <c r="B188" s="1025"/>
      <c r="C188" s="99"/>
      <c r="D188" s="226"/>
      <c r="E188" s="202"/>
      <c r="F188" s="224"/>
    </row>
    <row r="189" spans="1:7">
      <c r="A189" s="388"/>
      <c r="B189" s="98"/>
      <c r="C189" s="99" t="s">
        <v>43</v>
      </c>
      <c r="D189" s="100" t="s">
        <v>43</v>
      </c>
      <c r="E189" s="295" t="s">
        <v>60</v>
      </c>
      <c r="F189" s="1618">
        <f>SUM(F188:F188)</f>
        <v>0</v>
      </c>
    </row>
    <row r="190" spans="1:7" ht="30">
      <c r="A190" s="388"/>
      <c r="B190" s="1593" t="s">
        <v>95</v>
      </c>
      <c r="C190" s="94" t="s">
        <v>51</v>
      </c>
      <c r="D190" s="95" t="s">
        <v>52</v>
      </c>
      <c r="E190" s="107" t="s">
        <v>64</v>
      </c>
      <c r="F190" s="96" t="s">
        <v>54</v>
      </c>
    </row>
    <row r="191" spans="1:7">
      <c r="A191" s="494" t="s">
        <v>67</v>
      </c>
      <c r="B191" s="1607" t="s">
        <v>2326</v>
      </c>
      <c r="C191" s="99" t="s">
        <v>57</v>
      </c>
      <c r="D191" s="226">
        <v>1</v>
      </c>
      <c r="E191" s="223">
        <v>6560</v>
      </c>
      <c r="F191" s="1594">
        <f>TRUNC((D191*E191),2)</f>
        <v>6560</v>
      </c>
      <c r="G191" s="839">
        <f>C200</f>
        <v>6560</v>
      </c>
    </row>
    <row r="192" spans="1:7" ht="29.25" customHeight="1">
      <c r="A192" s="494" t="s">
        <v>107</v>
      </c>
      <c r="B192" s="519" t="s">
        <v>1026</v>
      </c>
      <c r="C192" s="99" t="s">
        <v>57</v>
      </c>
      <c r="D192" s="226">
        <v>1</v>
      </c>
      <c r="E192" s="223">
        <v>890</v>
      </c>
      <c r="F192" s="1594">
        <f>TRUNC((D192*E192),2)</f>
        <v>890</v>
      </c>
      <c r="G192" s="839">
        <f>F210</f>
        <v>890</v>
      </c>
    </row>
    <row r="193" spans="1:8">
      <c r="A193" s="520"/>
      <c r="B193" s="191"/>
      <c r="C193" s="152"/>
      <c r="D193" s="192"/>
      <c r="E193" s="295" t="s">
        <v>60</v>
      </c>
      <c r="F193" s="96">
        <f>SUM(F191:F192)</f>
        <v>7450</v>
      </c>
    </row>
    <row r="194" spans="1:8" ht="15.75" thickBot="1">
      <c r="A194" s="104"/>
      <c r="B194" s="2084" t="s">
        <v>55</v>
      </c>
      <c r="C194" s="2084"/>
      <c r="D194" s="2084"/>
      <c r="E194" s="2084"/>
      <c r="F194" s="1596">
        <f>F189+F193</f>
        <v>7450</v>
      </c>
    </row>
    <row r="195" spans="1:8">
      <c r="A195" s="194"/>
      <c r="B195" s="2076" t="s">
        <v>96</v>
      </c>
      <c r="C195" s="2077"/>
      <c r="D195" s="2077"/>
      <c r="E195" s="2078"/>
      <c r="F195" s="195"/>
    </row>
    <row r="196" spans="1:8" ht="25.5">
      <c r="A196" s="163" t="s">
        <v>61</v>
      </c>
      <c r="B196" s="107" t="s">
        <v>97</v>
      </c>
      <c r="C196" s="294" t="s">
        <v>98</v>
      </c>
      <c r="D196" s="2060" t="s">
        <v>62</v>
      </c>
      <c r="E196" s="2060"/>
      <c r="F196" s="164" t="s">
        <v>99</v>
      </c>
    </row>
    <row r="197" spans="1:8" ht="25.5">
      <c r="A197" s="222">
        <v>44403</v>
      </c>
      <c r="B197" s="204" t="s">
        <v>2272</v>
      </c>
      <c r="C197" s="202">
        <v>7000</v>
      </c>
      <c r="D197" s="2061" t="s">
        <v>2273</v>
      </c>
      <c r="E197" s="2062"/>
      <c r="F197" s="148" t="s">
        <v>2274</v>
      </c>
    </row>
    <row r="198" spans="1:8" ht="25.5">
      <c r="A198" s="222">
        <v>44403</v>
      </c>
      <c r="B198" s="204" t="s">
        <v>2275</v>
      </c>
      <c r="C198" s="202">
        <v>5250</v>
      </c>
      <c r="D198" s="2061" t="s">
        <v>2276</v>
      </c>
      <c r="E198" s="2062"/>
      <c r="F198" s="148" t="s">
        <v>2277</v>
      </c>
    </row>
    <row r="199" spans="1:8" ht="30">
      <c r="A199" s="222">
        <v>44389</v>
      </c>
      <c r="B199" s="406" t="s">
        <v>2278</v>
      </c>
      <c r="C199" s="202">
        <v>6560</v>
      </c>
      <c r="D199" s="2061" t="s">
        <v>2279</v>
      </c>
      <c r="E199" s="2062"/>
      <c r="F199" s="1575" t="s">
        <v>2280</v>
      </c>
    </row>
    <row r="200" spans="1:8" ht="15.75" thickBot="1">
      <c r="A200" s="149"/>
      <c r="B200" s="312" t="s">
        <v>63</v>
      </c>
      <c r="C200" s="150">
        <f>MEDIAN(C197:C199)</f>
        <v>6560</v>
      </c>
      <c r="D200" s="2079"/>
      <c r="E200" s="2080"/>
      <c r="F200" s="151"/>
    </row>
    <row r="201" spans="1:8" ht="15.75" thickBot="1">
      <c r="A201" s="525"/>
      <c r="B201" s="526"/>
      <c r="C201" s="527"/>
      <c r="D201" s="528"/>
      <c r="E201" s="529"/>
      <c r="F201" s="528"/>
    </row>
    <row r="202" spans="1:8" ht="25.5">
      <c r="A202" s="158" t="s">
        <v>107</v>
      </c>
      <c r="B202" s="416" t="s">
        <v>1030</v>
      </c>
      <c r="C202" s="159" t="s">
        <v>57</v>
      </c>
      <c r="D202" s="160"/>
      <c r="E202" s="161"/>
      <c r="F202" s="162"/>
    </row>
    <row r="203" spans="1:8">
      <c r="A203" s="2081" t="s">
        <v>534</v>
      </c>
      <c r="B203" s="2082"/>
      <c r="C203" s="2082"/>
      <c r="D203" s="2082"/>
      <c r="E203" s="2082"/>
      <c r="F203" s="2083"/>
    </row>
    <row r="204" spans="1:8" ht="30">
      <c r="A204" s="92"/>
      <c r="B204" s="93" t="s">
        <v>58</v>
      </c>
      <c r="C204" s="94" t="s">
        <v>51</v>
      </c>
      <c r="D204" s="95" t="s">
        <v>52</v>
      </c>
      <c r="E204" s="107" t="s">
        <v>64</v>
      </c>
      <c r="F204" s="96" t="s">
        <v>54</v>
      </c>
    </row>
    <row r="205" spans="1:8">
      <c r="A205" s="388"/>
      <c r="B205" s="1025"/>
      <c r="C205" s="99"/>
      <c r="D205" s="226"/>
      <c r="E205" s="202"/>
      <c r="F205" s="224"/>
    </row>
    <row r="206" spans="1:8">
      <c r="A206" s="388"/>
      <c r="B206" s="98"/>
      <c r="C206" s="99" t="s">
        <v>43</v>
      </c>
      <c r="D206" s="100" t="s">
        <v>43</v>
      </c>
      <c r="E206" s="295" t="s">
        <v>60</v>
      </c>
      <c r="F206" s="1618">
        <f>SUM(F205:F205)</f>
        <v>0</v>
      </c>
    </row>
    <row r="207" spans="1:8" ht="30">
      <c r="A207" s="388"/>
      <c r="B207" s="1593" t="s">
        <v>95</v>
      </c>
      <c r="C207" s="94" t="s">
        <v>51</v>
      </c>
      <c r="D207" s="95" t="s">
        <v>52</v>
      </c>
      <c r="E207" s="107" t="s">
        <v>64</v>
      </c>
      <c r="F207" s="96" t="s">
        <v>54</v>
      </c>
    </row>
    <row r="208" spans="1:8" ht="30.75" customHeight="1">
      <c r="A208" s="494" t="s">
        <v>67</v>
      </c>
      <c r="B208" s="519" t="s">
        <v>1027</v>
      </c>
      <c r="C208" s="99" t="s">
        <v>57</v>
      </c>
      <c r="D208" s="226">
        <v>1</v>
      </c>
      <c r="E208" s="223">
        <v>890</v>
      </c>
      <c r="F208" s="1594">
        <f>TRUNC((D208*E208),2)</f>
        <v>890</v>
      </c>
      <c r="G208" s="1608">
        <f>C216</f>
        <v>890</v>
      </c>
      <c r="H208" s="834"/>
    </row>
    <row r="209" spans="1:8">
      <c r="A209" s="520"/>
      <c r="B209" s="191"/>
      <c r="C209" s="152"/>
      <c r="D209" s="192"/>
      <c r="E209" s="295" t="s">
        <v>60</v>
      </c>
      <c r="F209" s="96">
        <f>SUM(F208:F208)</f>
        <v>890</v>
      </c>
    </row>
    <row r="210" spans="1:8" ht="15.75" thickBot="1">
      <c r="A210" s="104"/>
      <c r="B210" s="2084" t="s">
        <v>55</v>
      </c>
      <c r="C210" s="2084"/>
      <c r="D210" s="2084"/>
      <c r="E210" s="2084"/>
      <c r="F210" s="1596">
        <f>F206+F209</f>
        <v>890</v>
      </c>
    </row>
    <row r="211" spans="1:8" ht="15.75" thickBot="1">
      <c r="A211" s="104"/>
      <c r="B211" s="2069" t="s">
        <v>96</v>
      </c>
      <c r="C211" s="2070"/>
      <c r="D211" s="2070"/>
      <c r="E211" s="2071"/>
      <c r="F211" s="1596"/>
    </row>
    <row r="212" spans="1:8" ht="25.5">
      <c r="A212" s="1718" t="s">
        <v>61</v>
      </c>
      <c r="B212" s="1719" t="s">
        <v>97</v>
      </c>
      <c r="C212" s="1720" t="s">
        <v>98</v>
      </c>
      <c r="D212" s="2072" t="s">
        <v>62</v>
      </c>
      <c r="E212" s="2072"/>
      <c r="F212" s="1721" t="s">
        <v>99</v>
      </c>
    </row>
    <row r="213" spans="1:8" ht="25.5">
      <c r="A213" s="222">
        <v>44384</v>
      </c>
      <c r="B213" s="204" t="s">
        <v>1217</v>
      </c>
      <c r="C213" s="202">
        <v>890</v>
      </c>
      <c r="D213" s="2061" t="s">
        <v>1216</v>
      </c>
      <c r="E213" s="2062"/>
      <c r="F213" s="148" t="s">
        <v>1221</v>
      </c>
    </row>
    <row r="214" spans="1:8" ht="25.5">
      <c r="A214" s="222">
        <v>44382</v>
      </c>
      <c r="B214" s="204" t="s">
        <v>1218</v>
      </c>
      <c r="C214" s="202">
        <v>880.83</v>
      </c>
      <c r="D214" s="2061" t="s">
        <v>1219</v>
      </c>
      <c r="E214" s="2062"/>
      <c r="F214" s="148" t="s">
        <v>1220</v>
      </c>
    </row>
    <row r="215" spans="1:8" ht="25.5">
      <c r="A215" s="222">
        <v>44390</v>
      </c>
      <c r="B215" s="406" t="s">
        <v>2327</v>
      </c>
      <c r="C215" s="202">
        <v>1166</v>
      </c>
      <c r="D215" s="2061" t="s">
        <v>2328</v>
      </c>
      <c r="E215" s="2062"/>
      <c r="F215" s="148" t="s">
        <v>2329</v>
      </c>
    </row>
    <row r="216" spans="1:8" ht="15.75" thickBot="1">
      <c r="A216" s="149"/>
      <c r="B216" s="312" t="s">
        <v>63</v>
      </c>
      <c r="C216" s="150">
        <f>MEDIAN(C213:C215)</f>
        <v>890</v>
      </c>
      <c r="D216" s="2079"/>
      <c r="E216" s="2080"/>
      <c r="F216" s="151"/>
    </row>
    <row r="217" spans="1:8" ht="15.75" thickBot="1">
      <c r="A217" s="525"/>
      <c r="B217" s="526"/>
      <c r="C217" s="527"/>
      <c r="D217" s="528"/>
      <c r="E217" s="529"/>
      <c r="F217" s="528"/>
    </row>
    <row r="218" spans="1:8" ht="25.5">
      <c r="A218" s="158" t="s">
        <v>108</v>
      </c>
      <c r="B218" s="417" t="s">
        <v>1031</v>
      </c>
      <c r="C218" s="159" t="s">
        <v>57</v>
      </c>
      <c r="D218" s="160"/>
      <c r="E218" s="161"/>
      <c r="F218" s="162"/>
      <c r="H218" s="762" t="s">
        <v>332</v>
      </c>
    </row>
    <row r="219" spans="1:8">
      <c r="A219" s="2081" t="s">
        <v>534</v>
      </c>
      <c r="B219" s="2082"/>
      <c r="C219" s="2082"/>
      <c r="D219" s="2082"/>
      <c r="E219" s="2082"/>
      <c r="F219" s="2083"/>
    </row>
    <row r="220" spans="1:8" ht="30">
      <c r="A220" s="92"/>
      <c r="B220" s="93" t="s">
        <v>58</v>
      </c>
      <c r="C220" s="94" t="s">
        <v>51</v>
      </c>
      <c r="D220" s="95" t="s">
        <v>52</v>
      </c>
      <c r="E220" s="107" t="s">
        <v>64</v>
      </c>
      <c r="F220" s="96" t="s">
        <v>54</v>
      </c>
    </row>
    <row r="221" spans="1:8">
      <c r="A221" s="388"/>
      <c r="B221" s="1025"/>
      <c r="C221" s="99"/>
      <c r="D221" s="226"/>
      <c r="E221" s="202"/>
      <c r="F221" s="224"/>
    </row>
    <row r="222" spans="1:8">
      <c r="A222" s="388"/>
      <c r="B222" s="98"/>
      <c r="C222" s="99" t="s">
        <v>43</v>
      </c>
      <c r="D222" s="100" t="s">
        <v>43</v>
      </c>
      <c r="E222" s="295" t="s">
        <v>60</v>
      </c>
      <c r="F222" s="1618">
        <f>SUM(F221:F221)</f>
        <v>0</v>
      </c>
    </row>
    <row r="223" spans="1:8" ht="30">
      <c r="A223" s="388"/>
      <c r="B223" s="1593" t="s">
        <v>95</v>
      </c>
      <c r="C223" s="94" t="s">
        <v>51</v>
      </c>
      <c r="D223" s="95" t="s">
        <v>52</v>
      </c>
      <c r="E223" s="107" t="s">
        <v>64</v>
      </c>
      <c r="F223" s="96" t="s">
        <v>54</v>
      </c>
    </row>
    <row r="224" spans="1:8" ht="25.5" customHeight="1">
      <c r="A224" s="494" t="s">
        <v>67</v>
      </c>
      <c r="B224" s="519" t="s">
        <v>1031</v>
      </c>
      <c r="C224" s="99" t="s">
        <v>57</v>
      </c>
      <c r="D224" s="226">
        <v>1</v>
      </c>
      <c r="E224" s="223">
        <v>2400</v>
      </c>
      <c r="F224" s="1594">
        <f>TRUNC((D224*E224),2)</f>
        <v>2400</v>
      </c>
    </row>
    <row r="225" spans="1:6">
      <c r="A225" s="520"/>
      <c r="B225" s="191"/>
      <c r="C225" s="152"/>
      <c r="D225" s="192"/>
      <c r="E225" s="295" t="s">
        <v>60</v>
      </c>
      <c r="F225" s="96">
        <f>SUM(F224:F224)</f>
        <v>2400</v>
      </c>
    </row>
    <row r="226" spans="1:6" ht="15.75" thickBot="1">
      <c r="A226" s="104"/>
      <c r="B226" s="2084" t="s">
        <v>55</v>
      </c>
      <c r="C226" s="2084"/>
      <c r="D226" s="2084"/>
      <c r="E226" s="2084"/>
      <c r="F226" s="1596">
        <f>F222+F225</f>
        <v>2400</v>
      </c>
    </row>
    <row r="227" spans="1:6">
      <c r="A227" s="194"/>
      <c r="B227" s="2076" t="s">
        <v>96</v>
      </c>
      <c r="C227" s="2077"/>
      <c r="D227" s="2077"/>
      <c r="E227" s="2078"/>
      <c r="F227" s="195"/>
    </row>
    <row r="228" spans="1:6" ht="25.5">
      <c r="A228" s="163" t="s">
        <v>61</v>
      </c>
      <c r="B228" s="107" t="s">
        <v>97</v>
      </c>
      <c r="C228" s="294" t="s">
        <v>98</v>
      </c>
      <c r="D228" s="2060" t="s">
        <v>62</v>
      </c>
      <c r="E228" s="2060"/>
      <c r="F228" s="164" t="s">
        <v>99</v>
      </c>
    </row>
    <row r="229" spans="1:6" ht="26.25" thickBot="1">
      <c r="A229" s="1576">
        <v>44403</v>
      </c>
      <c r="B229" s="1577" t="s">
        <v>2272</v>
      </c>
      <c r="C229" s="1578">
        <v>1600</v>
      </c>
      <c r="D229" s="2091" t="s">
        <v>2273</v>
      </c>
      <c r="E229" s="2092"/>
      <c r="F229" s="1579" t="s">
        <v>2274</v>
      </c>
    </row>
    <row r="230" spans="1:6" ht="25.5">
      <c r="A230" s="1726">
        <v>44403</v>
      </c>
      <c r="B230" s="1727" t="s">
        <v>2275</v>
      </c>
      <c r="C230" s="1728">
        <v>2400</v>
      </c>
      <c r="D230" s="2115" t="s">
        <v>2330</v>
      </c>
      <c r="E230" s="2116"/>
      <c r="F230" s="1729" t="s">
        <v>2277</v>
      </c>
    </row>
    <row r="231" spans="1:6" ht="30">
      <c r="A231" s="222">
        <v>44389</v>
      </c>
      <c r="B231" s="406" t="s">
        <v>2278</v>
      </c>
      <c r="C231" s="202">
        <v>3200</v>
      </c>
      <c r="D231" s="2065" t="s">
        <v>2279</v>
      </c>
      <c r="E231" s="2065"/>
      <c r="F231" s="1575" t="s">
        <v>2280</v>
      </c>
    </row>
    <row r="232" spans="1:6" ht="15.75" thickBot="1">
      <c r="A232" s="149"/>
      <c r="B232" s="312" t="s">
        <v>63</v>
      </c>
      <c r="C232" s="150">
        <f>MEDIAN(C229:C231)</f>
        <v>2400</v>
      </c>
      <c r="D232" s="2079"/>
      <c r="E232" s="2080"/>
      <c r="F232" s="151"/>
    </row>
    <row r="233" spans="1:6" ht="15.75" thickBot="1">
      <c r="A233" s="771"/>
      <c r="B233" s="764"/>
      <c r="C233" s="770"/>
      <c r="D233" s="201"/>
      <c r="E233" s="201"/>
      <c r="F233" s="298"/>
    </row>
    <row r="234" spans="1:6" ht="25.5">
      <c r="A234" s="158" t="s">
        <v>109</v>
      </c>
      <c r="B234" s="417" t="s">
        <v>1038</v>
      </c>
      <c r="C234" s="159" t="s">
        <v>48</v>
      </c>
      <c r="D234" s="160"/>
      <c r="E234" s="161"/>
      <c r="F234" s="240"/>
    </row>
    <row r="235" spans="1:6">
      <c r="A235" s="2081" t="s">
        <v>1039</v>
      </c>
      <c r="B235" s="2082"/>
      <c r="C235" s="2082"/>
      <c r="D235" s="2082"/>
      <c r="E235" s="2082"/>
      <c r="F235" s="2083"/>
    </row>
    <row r="236" spans="1:6" ht="30">
      <c r="A236" s="1015"/>
      <c r="B236" s="1024" t="s">
        <v>58</v>
      </c>
      <c r="C236" s="94" t="s">
        <v>51</v>
      </c>
      <c r="D236" s="95" t="s">
        <v>52</v>
      </c>
      <c r="E236" s="107" t="s">
        <v>64</v>
      </c>
      <c r="F236" s="1016" t="s">
        <v>54</v>
      </c>
    </row>
    <row r="237" spans="1:6">
      <c r="A237" s="1017">
        <v>88316</v>
      </c>
      <c r="B237" s="1025" t="s">
        <v>68</v>
      </c>
      <c r="C237" s="99" t="s">
        <v>59</v>
      </c>
      <c r="D237" s="223">
        <v>0.75</v>
      </c>
      <c r="E237" s="223">
        <v>15.65</v>
      </c>
      <c r="F237" s="1018">
        <f>TRUNC((D237*E237),2)</f>
        <v>11.73</v>
      </c>
    </row>
    <row r="238" spans="1:6">
      <c r="A238" s="1711"/>
      <c r="B238" s="1020"/>
      <c r="C238" s="32" t="s">
        <v>43</v>
      </c>
      <c r="D238" s="100" t="s">
        <v>43</v>
      </c>
      <c r="E238" s="295" t="s">
        <v>60</v>
      </c>
      <c r="F238" s="1016">
        <f>SUM(F237:F237)</f>
        <v>11.73</v>
      </c>
    </row>
    <row r="239" spans="1:6" ht="30">
      <c r="A239" s="1711"/>
      <c r="B239" s="1024" t="s">
        <v>95</v>
      </c>
      <c r="C239" s="94" t="s">
        <v>51</v>
      </c>
      <c r="D239" s="95" t="s">
        <v>52</v>
      </c>
      <c r="E239" s="107" t="s">
        <v>64</v>
      </c>
      <c r="F239" s="1016" t="s">
        <v>54</v>
      </c>
    </row>
    <row r="240" spans="1:6">
      <c r="A240" s="1022"/>
      <c r="B240" s="191"/>
      <c r="C240" s="99"/>
      <c r="D240" s="217"/>
      <c r="E240" s="217"/>
      <c r="F240" s="1594">
        <f>TRUNC((D240*E240),2)</f>
        <v>0</v>
      </c>
    </row>
    <row r="241" spans="1:8" ht="15.75" thickBot="1">
      <c r="A241" s="206"/>
      <c r="B241" s="197"/>
      <c r="C241" s="198"/>
      <c r="D241" s="227"/>
      <c r="E241" s="228" t="s">
        <v>60</v>
      </c>
      <c r="F241" s="199">
        <f>SUM(F240:F240)</f>
        <v>0</v>
      </c>
    </row>
    <row r="242" spans="1:8" ht="15.75" thickBot="1">
      <c r="A242" s="189"/>
      <c r="B242" s="2075" t="s">
        <v>55</v>
      </c>
      <c r="C242" s="2075"/>
      <c r="D242" s="2075"/>
      <c r="E242" s="2075"/>
      <c r="F242" s="190">
        <f>F238+F241</f>
        <v>11.73</v>
      </c>
    </row>
    <row r="243" spans="1:8" ht="15.75" thickBot="1">
      <c r="A243" s="771"/>
      <c r="B243" s="769"/>
      <c r="C243" s="770"/>
      <c r="D243" s="201"/>
      <c r="E243" s="201"/>
      <c r="F243" s="298"/>
    </row>
    <row r="244" spans="1:8" ht="39.75" customHeight="1">
      <c r="A244" s="158" t="s">
        <v>110</v>
      </c>
      <c r="B244" s="417" t="s">
        <v>1044</v>
      </c>
      <c r="C244" s="159" t="s">
        <v>56</v>
      </c>
      <c r="D244" s="160"/>
      <c r="E244" s="161"/>
      <c r="F244" s="240"/>
    </row>
    <row r="245" spans="1:8">
      <c r="A245" s="2081" t="s">
        <v>1043</v>
      </c>
      <c r="B245" s="2082"/>
      <c r="C245" s="2082"/>
      <c r="D245" s="2082"/>
      <c r="E245" s="2082"/>
      <c r="F245" s="2083"/>
    </row>
    <row r="246" spans="1:8" ht="30">
      <c r="A246" s="1015"/>
      <c r="B246" s="1024" t="s">
        <v>58</v>
      </c>
      <c r="C246" s="94" t="s">
        <v>51</v>
      </c>
      <c r="D246" s="95" t="s">
        <v>52</v>
      </c>
      <c r="E246" s="107" t="s">
        <v>64</v>
      </c>
      <c r="F246" s="1016" t="s">
        <v>54</v>
      </c>
    </row>
    <row r="247" spans="1:8">
      <c r="A247" s="1017">
        <v>88316</v>
      </c>
      <c r="B247" s="1025" t="s">
        <v>68</v>
      </c>
      <c r="C247" s="99" t="s">
        <v>59</v>
      </c>
      <c r="D247" s="226">
        <v>3.1E-2</v>
      </c>
      <c r="E247" s="223">
        <v>15.65</v>
      </c>
      <c r="F247" s="1018">
        <f>TRUNC((D247*E247),2)</f>
        <v>0.48</v>
      </c>
      <c r="G247" s="61"/>
      <c r="H247" s="61"/>
    </row>
    <row r="248" spans="1:8" ht="25.5">
      <c r="A248" s="1017">
        <v>88256</v>
      </c>
      <c r="B248" s="204" t="s">
        <v>1045</v>
      </c>
      <c r="C248" s="99" t="s">
        <v>59</v>
      </c>
      <c r="D248" s="226">
        <v>8.5000000000000006E-2</v>
      </c>
      <c r="E248" s="223">
        <v>19.79</v>
      </c>
      <c r="F248" s="1018">
        <f>TRUNC((D248*E248),2)</f>
        <v>1.68</v>
      </c>
      <c r="G248" s="61"/>
      <c r="H248" s="61"/>
    </row>
    <row r="249" spans="1:8">
      <c r="A249" s="1711"/>
      <c r="B249" s="1020"/>
      <c r="C249" s="32" t="s">
        <v>43</v>
      </c>
      <c r="D249" s="100" t="s">
        <v>43</v>
      </c>
      <c r="E249" s="295" t="s">
        <v>60</v>
      </c>
      <c r="F249" s="1016">
        <f>SUM(F247:F248)</f>
        <v>2.16</v>
      </c>
      <c r="G249" s="61"/>
      <c r="H249" s="61"/>
    </row>
    <row r="250" spans="1:8" ht="15" customHeight="1">
      <c r="A250" s="1711"/>
      <c r="B250" s="1024" t="s">
        <v>95</v>
      </c>
      <c r="C250" s="94" t="s">
        <v>51</v>
      </c>
      <c r="D250" s="95" t="s">
        <v>52</v>
      </c>
      <c r="E250" s="107" t="s">
        <v>64</v>
      </c>
      <c r="F250" s="1016" t="s">
        <v>54</v>
      </c>
      <c r="G250" s="61"/>
      <c r="H250" s="61"/>
    </row>
    <row r="251" spans="1:8" ht="15" customHeight="1">
      <c r="A251" s="1711">
        <v>1381</v>
      </c>
      <c r="B251" s="778" t="s">
        <v>1047</v>
      </c>
      <c r="C251" s="478" t="s">
        <v>101</v>
      </c>
      <c r="D251" s="531">
        <v>0.60299999999999998</v>
      </c>
      <c r="E251" s="777">
        <v>0.78</v>
      </c>
      <c r="F251" s="1018">
        <f>TRUNC((D251*E251),2)</f>
        <v>0.47</v>
      </c>
      <c r="G251" s="61"/>
      <c r="H251" s="61"/>
    </row>
    <row r="252" spans="1:8" ht="15" customHeight="1">
      <c r="A252" s="1711">
        <v>34357</v>
      </c>
      <c r="B252" s="778" t="s">
        <v>1046</v>
      </c>
      <c r="C252" s="478" t="s">
        <v>101</v>
      </c>
      <c r="D252" s="531">
        <v>8.4000000000000005E-2</v>
      </c>
      <c r="E252" s="777">
        <v>4.58</v>
      </c>
      <c r="F252" s="1018">
        <f>TRUNC((D252*E252),2)</f>
        <v>0.38</v>
      </c>
      <c r="G252" s="61"/>
      <c r="H252" s="61"/>
    </row>
    <row r="253" spans="1:8" ht="42" customHeight="1">
      <c r="A253" s="209">
        <v>87261</v>
      </c>
      <c r="B253" s="204" t="s">
        <v>1040</v>
      </c>
      <c r="C253" s="478" t="s">
        <v>48</v>
      </c>
      <c r="D253" s="531">
        <v>0.40279999999999999</v>
      </c>
      <c r="E253" s="777">
        <v>127.56</v>
      </c>
      <c r="F253" s="1018">
        <f>TRUNC((D253*E253),2)</f>
        <v>51.38</v>
      </c>
      <c r="G253" s="61"/>
      <c r="H253" s="61"/>
    </row>
    <row r="254" spans="1:8" ht="15.75" thickBot="1">
      <c r="A254" s="206"/>
      <c r="B254" s="197"/>
      <c r="C254" s="198"/>
      <c r="D254" s="227"/>
      <c r="E254" s="228" t="s">
        <v>60</v>
      </c>
      <c r="F254" s="199">
        <f>SUM(F251:F253)</f>
        <v>52.230000000000004</v>
      </c>
      <c r="G254" s="61"/>
      <c r="H254" s="61"/>
    </row>
    <row r="255" spans="1:8" ht="15.75" thickBot="1">
      <c r="A255" s="189"/>
      <c r="B255" s="2075" t="s">
        <v>55</v>
      </c>
      <c r="C255" s="2075"/>
      <c r="D255" s="2075"/>
      <c r="E255" s="2075"/>
      <c r="F255" s="190">
        <f>F249+F254</f>
        <v>54.39</v>
      </c>
      <c r="G255" s="61"/>
      <c r="H255" s="61"/>
    </row>
    <row r="256" spans="1:8" ht="45.75" customHeight="1" thickBot="1">
      <c r="A256" s="779" t="s">
        <v>1050</v>
      </c>
      <c r="B256" s="780" t="s">
        <v>1051</v>
      </c>
      <c r="C256" s="780"/>
      <c r="D256" s="2134"/>
      <c r="E256" s="2134"/>
      <c r="F256" s="781"/>
      <c r="G256" s="61"/>
      <c r="H256" s="61"/>
    </row>
    <row r="257" spans="1:8" ht="15.75" thickBot="1">
      <c r="A257" s="418"/>
      <c r="B257" s="521"/>
      <c r="C257" s="522"/>
      <c r="D257" s="523"/>
      <c r="E257" s="776"/>
      <c r="F257" s="392"/>
      <c r="G257" s="61"/>
      <c r="H257" s="61"/>
    </row>
    <row r="258" spans="1:8" ht="28.5" customHeight="1">
      <c r="A258" s="419" t="s">
        <v>543</v>
      </c>
      <c r="B258" s="417" t="s">
        <v>383</v>
      </c>
      <c r="C258" s="159" t="s">
        <v>57</v>
      </c>
      <c r="D258" s="160"/>
      <c r="E258" s="160"/>
      <c r="F258" s="396"/>
      <c r="G258" s="61"/>
      <c r="H258" s="61"/>
    </row>
    <row r="259" spans="1:8">
      <c r="A259" s="2117" t="s">
        <v>382</v>
      </c>
      <c r="B259" s="2118"/>
      <c r="C259" s="2118"/>
      <c r="D259" s="2118"/>
      <c r="E259" s="2118"/>
      <c r="F259" s="2119"/>
      <c r="G259" s="61"/>
      <c r="H259" s="61"/>
    </row>
    <row r="260" spans="1:8" ht="27" customHeight="1">
      <c r="A260" s="1015"/>
      <c r="B260" s="1024" t="s">
        <v>58</v>
      </c>
      <c r="C260" s="94" t="s">
        <v>51</v>
      </c>
      <c r="D260" s="95" t="s">
        <v>52</v>
      </c>
      <c r="E260" s="258" t="s">
        <v>64</v>
      </c>
      <c r="F260" s="1016" t="s">
        <v>54</v>
      </c>
      <c r="G260" s="61"/>
      <c r="H260" s="61"/>
    </row>
    <row r="261" spans="1:8" ht="25.5">
      <c r="A261" s="388">
        <v>88267</v>
      </c>
      <c r="B261" s="398" t="s">
        <v>103</v>
      </c>
      <c r="C261" s="99" t="s">
        <v>59</v>
      </c>
      <c r="D261" s="225">
        <v>0.94850000000000001</v>
      </c>
      <c r="E261" s="223">
        <v>19.920000000000002</v>
      </c>
      <c r="F261" s="1018">
        <f>TRUNC((D261*E261),2)</f>
        <v>18.89</v>
      </c>
      <c r="G261" s="61"/>
      <c r="H261" s="61"/>
    </row>
    <row r="262" spans="1:8">
      <c r="A262" s="1019">
        <v>88316</v>
      </c>
      <c r="B262" s="298" t="s">
        <v>68</v>
      </c>
      <c r="C262" s="99" t="s">
        <v>59</v>
      </c>
      <c r="D262" s="225">
        <v>0.29880000000000001</v>
      </c>
      <c r="E262" s="223">
        <v>15.65</v>
      </c>
      <c r="F262" s="1018">
        <f>TRUNC((D262*E262),2)</f>
        <v>4.67</v>
      </c>
      <c r="G262" s="61"/>
      <c r="H262" s="408"/>
    </row>
    <row r="263" spans="1:8" ht="15" customHeight="1">
      <c r="A263" s="1711"/>
      <c r="B263" s="1020"/>
      <c r="C263" s="32" t="s">
        <v>43</v>
      </c>
      <c r="D263" s="100" t="s">
        <v>43</v>
      </c>
      <c r="E263" s="1730" t="s">
        <v>60</v>
      </c>
      <c r="F263" s="1021">
        <f>SUM(F261:F262)</f>
        <v>23.560000000000002</v>
      </c>
      <c r="G263" s="61"/>
      <c r="H263" s="407"/>
    </row>
    <row r="264" spans="1:8" ht="30">
      <c r="A264" s="1711"/>
      <c r="B264" s="1024" t="s">
        <v>95</v>
      </c>
      <c r="C264" s="94" t="s">
        <v>51</v>
      </c>
      <c r="D264" s="95" t="s">
        <v>52</v>
      </c>
      <c r="E264" s="107" t="s">
        <v>64</v>
      </c>
      <c r="F264" s="1016" t="s">
        <v>54</v>
      </c>
      <c r="G264" s="61"/>
      <c r="H264" s="61"/>
    </row>
    <row r="265" spans="1:8" ht="25.5">
      <c r="A265" s="388">
        <v>36080</v>
      </c>
      <c r="B265" s="398" t="s">
        <v>381</v>
      </c>
      <c r="C265" s="99" t="s">
        <v>57</v>
      </c>
      <c r="D265" s="390">
        <v>1</v>
      </c>
      <c r="E265" s="223">
        <v>148.94999999999999</v>
      </c>
      <c r="F265" s="1018">
        <f>TRUNC((D265*E265),2)</f>
        <v>148.94999999999999</v>
      </c>
    </row>
    <row r="266" spans="1:8" ht="38.25">
      <c r="A266" s="397">
        <v>4351</v>
      </c>
      <c r="B266" s="398" t="s">
        <v>386</v>
      </c>
      <c r="C266" s="99" t="s">
        <v>57</v>
      </c>
      <c r="D266" s="390">
        <v>6</v>
      </c>
      <c r="E266" s="223">
        <v>9.24</v>
      </c>
      <c r="F266" s="1018">
        <f>TRUNC((D266*E266),2)</f>
        <v>55.44</v>
      </c>
    </row>
    <row r="267" spans="1:8">
      <c r="A267" s="145"/>
      <c r="B267" s="191"/>
      <c r="C267" s="152"/>
      <c r="D267" s="192"/>
      <c r="E267" s="295" t="s">
        <v>60</v>
      </c>
      <c r="F267" s="403">
        <f>SUM(F265:F266)</f>
        <v>204.39</v>
      </c>
    </row>
    <row r="268" spans="1:8" ht="15.75" thickBot="1">
      <c r="A268" s="104"/>
      <c r="B268" s="2057" t="s">
        <v>55</v>
      </c>
      <c r="C268" s="2058"/>
      <c r="D268" s="2058"/>
      <c r="E268" s="2059"/>
      <c r="F268" s="1624">
        <f>F263+F267</f>
        <v>227.95</v>
      </c>
    </row>
    <row r="269" spans="1:8" ht="15.75" thickBot="1">
      <c r="A269" s="46"/>
      <c r="B269" s="296"/>
      <c r="C269" s="297"/>
      <c r="D269" s="297"/>
      <c r="E269" s="297"/>
      <c r="F269" s="46"/>
    </row>
    <row r="270" spans="1:8" ht="28.5" customHeight="1">
      <c r="A270" s="419" t="s">
        <v>551</v>
      </c>
      <c r="B270" s="417" t="s">
        <v>384</v>
      </c>
      <c r="C270" s="159" t="s">
        <v>57</v>
      </c>
      <c r="D270" s="160"/>
      <c r="E270" s="160"/>
      <c r="F270" s="396"/>
    </row>
    <row r="271" spans="1:8">
      <c r="A271" s="2054" t="s">
        <v>385</v>
      </c>
      <c r="B271" s="2055"/>
      <c r="C271" s="2055"/>
      <c r="D271" s="2055"/>
      <c r="E271" s="2055"/>
      <c r="F271" s="2056"/>
    </row>
    <row r="272" spans="1:8" ht="29.25" customHeight="1">
      <c r="A272" s="92"/>
      <c r="B272" s="93" t="s">
        <v>58</v>
      </c>
      <c r="C272" s="94" t="s">
        <v>51</v>
      </c>
      <c r="D272" s="95" t="s">
        <v>52</v>
      </c>
      <c r="E272" s="107" t="s">
        <v>64</v>
      </c>
      <c r="F272" s="96" t="s">
        <v>54</v>
      </c>
    </row>
    <row r="273" spans="1:6" ht="26.25" customHeight="1">
      <c r="A273" s="1731">
        <v>88267</v>
      </c>
      <c r="B273" s="819" t="s">
        <v>103</v>
      </c>
      <c r="C273" s="1732" t="s">
        <v>59</v>
      </c>
      <c r="D273" s="1733">
        <v>0.94850000000000001</v>
      </c>
      <c r="E273" s="422">
        <v>19.920000000000002</v>
      </c>
      <c r="F273" s="1734">
        <f>TRUNC((D273*E273),2)</f>
        <v>18.89</v>
      </c>
    </row>
    <row r="274" spans="1:6">
      <c r="A274" s="1019">
        <v>88316</v>
      </c>
      <c r="B274" s="298" t="s">
        <v>68</v>
      </c>
      <c r="C274" s="99" t="s">
        <v>59</v>
      </c>
      <c r="D274" s="225">
        <v>0.29880000000000001</v>
      </c>
      <c r="E274" s="223">
        <v>15.65</v>
      </c>
      <c r="F274" s="1018">
        <f>TRUNC((D274*E274),2)</f>
        <v>4.67</v>
      </c>
    </row>
    <row r="275" spans="1:6">
      <c r="A275" s="1711"/>
      <c r="B275" s="1020"/>
      <c r="C275" s="32" t="s">
        <v>43</v>
      </c>
      <c r="D275" s="100" t="s">
        <v>43</v>
      </c>
      <c r="E275" s="1730" t="s">
        <v>60</v>
      </c>
      <c r="F275" s="1021">
        <f>SUM(F273:F274)</f>
        <v>23.560000000000002</v>
      </c>
    </row>
    <row r="276" spans="1:6" ht="30">
      <c r="A276" s="1711"/>
      <c r="B276" s="1024" t="s">
        <v>95</v>
      </c>
      <c r="C276" s="94" t="s">
        <v>51</v>
      </c>
      <c r="D276" s="95" t="s">
        <v>52</v>
      </c>
      <c r="E276" s="107" t="s">
        <v>64</v>
      </c>
      <c r="F276" s="1016" t="s">
        <v>54</v>
      </c>
    </row>
    <row r="277" spans="1:6" ht="25.5">
      <c r="A277" s="388">
        <v>36220</v>
      </c>
      <c r="B277" s="398" t="s">
        <v>381</v>
      </c>
      <c r="C277" s="99" t="s">
        <v>57</v>
      </c>
      <c r="D277" s="390">
        <v>1</v>
      </c>
      <c r="E277" s="223">
        <v>137.69999999999999</v>
      </c>
      <c r="F277" s="1018">
        <f>TRUNC((D277*E277),2)</f>
        <v>137.69999999999999</v>
      </c>
    </row>
    <row r="278" spans="1:6" ht="38.25">
      <c r="A278" s="397">
        <v>4351</v>
      </c>
      <c r="B278" s="398" t="s">
        <v>386</v>
      </c>
      <c r="C278" s="99" t="s">
        <v>57</v>
      </c>
      <c r="D278" s="390">
        <v>6</v>
      </c>
      <c r="E278" s="223">
        <v>9.24</v>
      </c>
      <c r="F278" s="1018">
        <f>TRUNC((D278*E278),2)</f>
        <v>55.44</v>
      </c>
    </row>
    <row r="279" spans="1:6" ht="18" customHeight="1">
      <c r="A279" s="145"/>
      <c r="B279" s="191"/>
      <c r="C279" s="152"/>
      <c r="D279" s="192"/>
      <c r="E279" s="295" t="s">
        <v>60</v>
      </c>
      <c r="F279" s="403">
        <f>SUM(F277:F278)</f>
        <v>193.14</v>
      </c>
    </row>
    <row r="280" spans="1:6" ht="15.75" thickBot="1">
      <c r="A280" s="104"/>
      <c r="B280" s="2057" t="s">
        <v>55</v>
      </c>
      <c r="C280" s="2058"/>
      <c r="D280" s="2058"/>
      <c r="E280" s="2059"/>
      <c r="F280" s="1624">
        <f>F275+F279</f>
        <v>216.7</v>
      </c>
    </row>
    <row r="281" spans="1:6" ht="15.75" thickBot="1">
      <c r="A281" s="201"/>
      <c r="B281" s="201"/>
      <c r="C281" s="201"/>
      <c r="D281" s="201"/>
      <c r="E281" s="201"/>
      <c r="F281" s="201"/>
    </row>
    <row r="282" spans="1:6" ht="38.25">
      <c r="A282" s="419" t="s">
        <v>597</v>
      </c>
      <c r="B282" s="417" t="s">
        <v>1055</v>
      </c>
      <c r="C282" s="159" t="s">
        <v>48</v>
      </c>
      <c r="D282" s="160"/>
      <c r="E282" s="160"/>
      <c r="F282" s="396"/>
    </row>
    <row r="283" spans="1:6" ht="15" customHeight="1">
      <c r="A283" s="2054" t="s">
        <v>1056</v>
      </c>
      <c r="B283" s="2055"/>
      <c r="C283" s="2055"/>
      <c r="D283" s="2055"/>
      <c r="E283" s="2055"/>
      <c r="F283" s="2056"/>
    </row>
    <row r="284" spans="1:6" ht="30">
      <c r="A284" s="1015"/>
      <c r="B284" s="1024" t="s">
        <v>58</v>
      </c>
      <c r="C284" s="94" t="s">
        <v>51</v>
      </c>
      <c r="D284" s="95" t="s">
        <v>52</v>
      </c>
      <c r="E284" s="258" t="s">
        <v>64</v>
      </c>
      <c r="F284" s="1016" t="s">
        <v>54</v>
      </c>
    </row>
    <row r="285" spans="1:6" ht="26.25" thickBot="1">
      <c r="A285" s="206">
        <v>88262</v>
      </c>
      <c r="B285" s="1706" t="s">
        <v>389</v>
      </c>
      <c r="C285" s="1597" t="s">
        <v>59</v>
      </c>
      <c r="D285" s="1598">
        <v>2.5</v>
      </c>
      <c r="E285" s="1675">
        <v>19.649999999999999</v>
      </c>
      <c r="F285" s="1750">
        <f>TRUNC((D285*E285),2)</f>
        <v>49.12</v>
      </c>
    </row>
    <row r="286" spans="1:6" ht="25.5">
      <c r="A286" s="1766">
        <v>88239</v>
      </c>
      <c r="B286" s="1590" t="s">
        <v>405</v>
      </c>
      <c r="C286" s="1599" t="s">
        <v>59</v>
      </c>
      <c r="D286" s="1739">
        <v>2.5</v>
      </c>
      <c r="E286" s="1690">
        <v>16.3</v>
      </c>
      <c r="F286" s="1740">
        <f>TRUNC((D286*E286),2)</f>
        <v>40.75</v>
      </c>
    </row>
    <row r="287" spans="1:6">
      <c r="A287" s="1711"/>
      <c r="B287" s="1020"/>
      <c r="C287" s="32" t="s">
        <v>43</v>
      </c>
      <c r="D287" s="100" t="s">
        <v>43</v>
      </c>
      <c r="E287" s="295" t="s">
        <v>60</v>
      </c>
      <c r="F287" s="1021">
        <f>SUM(F285:F286)</f>
        <v>89.87</v>
      </c>
    </row>
    <row r="288" spans="1:6" ht="30">
      <c r="A288" s="1711"/>
      <c r="B288" s="1024" t="s">
        <v>95</v>
      </c>
      <c r="C288" s="94" t="s">
        <v>51</v>
      </c>
      <c r="D288" s="95" t="s">
        <v>52</v>
      </c>
      <c r="E288" s="258" t="s">
        <v>64</v>
      </c>
      <c r="F288" s="1016" t="s">
        <v>54</v>
      </c>
    </row>
    <row r="289" spans="1:10" ht="19.5" customHeight="1">
      <c r="A289" s="388">
        <v>584</v>
      </c>
      <c r="B289" s="398" t="s">
        <v>1069</v>
      </c>
      <c r="C289" s="99" t="s">
        <v>56</v>
      </c>
      <c r="D289" s="390">
        <v>3.5</v>
      </c>
      <c r="E289" s="223">
        <v>34.36</v>
      </c>
      <c r="F289" s="1018">
        <f>TRUNC((D289*E289),2)</f>
        <v>120.26</v>
      </c>
    </row>
    <row r="290" spans="1:10" ht="38.25">
      <c r="A290" s="388">
        <v>4358</v>
      </c>
      <c r="B290" s="204" t="s">
        <v>1070</v>
      </c>
      <c r="C290" s="99" t="s">
        <v>57</v>
      </c>
      <c r="D290" s="390">
        <v>2.5</v>
      </c>
      <c r="E290" s="223">
        <v>1.1200000000000001</v>
      </c>
      <c r="F290" s="1018">
        <f>TRUNC((D290*E290),2)</f>
        <v>2.8</v>
      </c>
    </row>
    <row r="291" spans="1:10" ht="25.5">
      <c r="A291" s="388">
        <v>11134</v>
      </c>
      <c r="B291" s="204" t="s">
        <v>1068</v>
      </c>
      <c r="C291" s="99" t="s">
        <v>48</v>
      </c>
      <c r="D291" s="390">
        <v>1.1000000000000001</v>
      </c>
      <c r="E291" s="223">
        <v>41.45</v>
      </c>
      <c r="F291" s="1018">
        <f>TRUNC((D291*E291),2)</f>
        <v>45.59</v>
      </c>
    </row>
    <row r="292" spans="1:10">
      <c r="A292" s="388">
        <v>11186</v>
      </c>
      <c r="B292" s="204" t="s">
        <v>1067</v>
      </c>
      <c r="C292" s="99" t="s">
        <v>48</v>
      </c>
      <c r="D292" s="390">
        <v>1.1000000000000001</v>
      </c>
      <c r="E292" s="223">
        <v>405.34</v>
      </c>
      <c r="F292" s="1018">
        <f>TRUNC((D292*E292),2)</f>
        <v>445.87</v>
      </c>
    </row>
    <row r="293" spans="1:10">
      <c r="A293" s="145"/>
      <c r="B293" s="191"/>
      <c r="C293" s="152"/>
      <c r="D293" s="192"/>
      <c r="E293" s="295" t="s">
        <v>60</v>
      </c>
      <c r="F293" s="403">
        <f>SUM(F289:F292)</f>
        <v>614.52</v>
      </c>
    </row>
    <row r="294" spans="1:10" ht="15.75" thickBot="1">
      <c r="A294" s="104"/>
      <c r="B294" s="2057" t="s">
        <v>55</v>
      </c>
      <c r="C294" s="2058"/>
      <c r="D294" s="2058"/>
      <c r="E294" s="2059"/>
      <c r="F294" s="1624">
        <f>F287+F293</f>
        <v>704.39</v>
      </c>
    </row>
    <row r="295" spans="1:10" ht="15.75" thickBot="1">
      <c r="A295" s="201"/>
      <c r="B295" s="201"/>
      <c r="C295" s="201"/>
      <c r="D295" s="201"/>
      <c r="E295" s="201"/>
      <c r="F295" s="201"/>
    </row>
    <row r="296" spans="1:10">
      <c r="A296" s="419" t="s">
        <v>1058</v>
      </c>
      <c r="B296" s="518" t="s">
        <v>1059</v>
      </c>
      <c r="C296" s="782" t="s">
        <v>57</v>
      </c>
      <c r="D296" s="783"/>
      <c r="E296" s="784"/>
      <c r="F296" s="785"/>
    </row>
    <row r="297" spans="1:10" ht="15" customHeight="1">
      <c r="A297" s="2054" t="s">
        <v>1060</v>
      </c>
      <c r="B297" s="2055"/>
      <c r="C297" s="2055"/>
      <c r="D297" s="2055"/>
      <c r="E297" s="2055"/>
      <c r="F297" s="2056"/>
      <c r="I297" s="132"/>
      <c r="J297" s="132"/>
    </row>
    <row r="298" spans="1:10" ht="30">
      <c r="A298" s="1015"/>
      <c r="B298" s="1024" t="s">
        <v>58</v>
      </c>
      <c r="C298" s="94" t="s">
        <v>51</v>
      </c>
      <c r="D298" s="95" t="s">
        <v>52</v>
      </c>
      <c r="E298" s="258" t="s">
        <v>64</v>
      </c>
      <c r="F298" s="1016" t="s">
        <v>54</v>
      </c>
    </row>
    <row r="299" spans="1:10" ht="17.25" customHeight="1">
      <c r="A299" s="388">
        <v>88309</v>
      </c>
      <c r="B299" s="1717" t="s">
        <v>104</v>
      </c>
      <c r="C299" s="99" t="s">
        <v>59</v>
      </c>
      <c r="D299" s="225">
        <v>0.4</v>
      </c>
      <c r="E299" s="223">
        <v>19.86</v>
      </c>
      <c r="F299" s="1018">
        <f>TRUNC((D299*E299),2)</f>
        <v>7.94</v>
      </c>
    </row>
    <row r="300" spans="1:10" ht="16.5" customHeight="1">
      <c r="A300" s="1019">
        <v>88316</v>
      </c>
      <c r="B300" s="787" t="s">
        <v>68</v>
      </c>
      <c r="C300" s="99" t="s">
        <v>59</v>
      </c>
      <c r="D300" s="225">
        <v>0.4</v>
      </c>
      <c r="E300" s="223">
        <v>15.65</v>
      </c>
      <c r="F300" s="1018">
        <f>TRUNC((D300*E300),2)</f>
        <v>6.26</v>
      </c>
    </row>
    <row r="301" spans="1:10">
      <c r="A301" s="1711"/>
      <c r="B301" s="1020"/>
      <c r="C301" s="32" t="s">
        <v>43</v>
      </c>
      <c r="D301" s="100" t="s">
        <v>43</v>
      </c>
      <c r="E301" s="295" t="s">
        <v>60</v>
      </c>
      <c r="F301" s="1021">
        <f>SUM(F299:F300)</f>
        <v>14.2</v>
      </c>
    </row>
    <row r="302" spans="1:10" ht="30">
      <c r="A302" s="1711"/>
      <c r="B302" s="1024" t="s">
        <v>95</v>
      </c>
      <c r="C302" s="1763" t="s">
        <v>51</v>
      </c>
      <c r="D302" s="1764" t="s">
        <v>52</v>
      </c>
      <c r="E302" s="1765" t="s">
        <v>64</v>
      </c>
      <c r="F302" s="1016" t="s">
        <v>54</v>
      </c>
    </row>
    <row r="303" spans="1:10" ht="24.75" customHeight="1">
      <c r="A303" s="388">
        <v>37400</v>
      </c>
      <c r="B303" s="204" t="s">
        <v>1065</v>
      </c>
      <c r="C303" s="99" t="s">
        <v>57</v>
      </c>
      <c r="D303" s="390">
        <v>1</v>
      </c>
      <c r="E303" s="223">
        <v>85.84</v>
      </c>
      <c r="F303" s="224">
        <f>TRUNC((D303*E303),2)</f>
        <v>85.84</v>
      </c>
    </row>
    <row r="304" spans="1:10">
      <c r="A304" s="145"/>
      <c r="B304" s="191"/>
      <c r="C304" s="152"/>
      <c r="D304" s="192"/>
      <c r="E304" s="295" t="s">
        <v>60</v>
      </c>
      <c r="F304" s="403">
        <f>SUM(F303:F303)</f>
        <v>85.84</v>
      </c>
    </row>
    <row r="305" spans="1:6" ht="15.75" thickBot="1">
      <c r="A305" s="104"/>
      <c r="B305" s="2057" t="s">
        <v>55</v>
      </c>
      <c r="C305" s="2058"/>
      <c r="D305" s="2058"/>
      <c r="E305" s="2059"/>
      <c r="F305" s="1624">
        <f>F301+F304</f>
        <v>100.04</v>
      </c>
    </row>
    <row r="306" spans="1:6" ht="15.75" thickBot="1"/>
    <row r="307" spans="1:6">
      <c r="A307" s="419" t="s">
        <v>1061</v>
      </c>
      <c r="B307" s="518" t="s">
        <v>1062</v>
      </c>
      <c r="C307" s="782" t="s">
        <v>57</v>
      </c>
      <c r="D307" s="783"/>
      <c r="E307" s="784"/>
      <c r="F307" s="785"/>
    </row>
    <row r="308" spans="1:6">
      <c r="A308" s="2054" t="s">
        <v>1063</v>
      </c>
      <c r="B308" s="2055"/>
      <c r="C308" s="2055"/>
      <c r="D308" s="2055"/>
      <c r="E308" s="2055"/>
      <c r="F308" s="2056"/>
    </row>
    <row r="309" spans="1:6" ht="30">
      <c r="A309" s="1015"/>
      <c r="B309" s="1024" t="s">
        <v>58</v>
      </c>
      <c r="C309" s="94" t="s">
        <v>51</v>
      </c>
      <c r="D309" s="95" t="s">
        <v>52</v>
      </c>
      <c r="E309" s="258" t="s">
        <v>64</v>
      </c>
      <c r="F309" s="1016" t="s">
        <v>54</v>
      </c>
    </row>
    <row r="310" spans="1:6">
      <c r="A310" s="388">
        <v>88309</v>
      </c>
      <c r="B310" s="1717" t="s">
        <v>104</v>
      </c>
      <c r="C310" s="99" t="s">
        <v>59</v>
      </c>
      <c r="D310" s="225">
        <v>0.4</v>
      </c>
      <c r="E310" s="223">
        <v>19.86</v>
      </c>
      <c r="F310" s="1018">
        <f>TRUNC((D310*E310),2)</f>
        <v>7.94</v>
      </c>
    </row>
    <row r="311" spans="1:6">
      <c r="A311" s="1019">
        <v>88316</v>
      </c>
      <c r="B311" s="787" t="s">
        <v>68</v>
      </c>
      <c r="C311" s="99" t="s">
        <v>59</v>
      </c>
      <c r="D311" s="225">
        <v>0.4</v>
      </c>
      <c r="E311" s="223">
        <v>15.65</v>
      </c>
      <c r="F311" s="1018">
        <f>TRUNC((D311*E311),2)</f>
        <v>6.26</v>
      </c>
    </row>
    <row r="312" spans="1:6">
      <c r="A312" s="1711"/>
      <c r="B312" s="1020"/>
      <c r="C312" s="32" t="s">
        <v>43</v>
      </c>
      <c r="D312" s="100" t="s">
        <v>43</v>
      </c>
      <c r="E312" s="295" t="s">
        <v>60</v>
      </c>
      <c r="F312" s="1021">
        <f>SUM(F310:F311)</f>
        <v>14.2</v>
      </c>
    </row>
    <row r="313" spans="1:6" ht="30">
      <c r="A313" s="1711"/>
      <c r="B313" s="1024" t="s">
        <v>95</v>
      </c>
      <c r="C313" s="94" t="s">
        <v>51</v>
      </c>
      <c r="D313" s="95" t="s">
        <v>52</v>
      </c>
      <c r="E313" s="258" t="s">
        <v>64</v>
      </c>
      <c r="F313" s="1016" t="s">
        <v>54</v>
      </c>
    </row>
    <row r="314" spans="1:6" ht="25.5">
      <c r="A314" s="388">
        <v>37401</v>
      </c>
      <c r="B314" s="204" t="s">
        <v>1066</v>
      </c>
      <c r="C314" s="99" t="s">
        <v>57</v>
      </c>
      <c r="D314" s="390">
        <v>1</v>
      </c>
      <c r="E314" s="223">
        <v>85.84</v>
      </c>
      <c r="F314" s="1018">
        <f>TRUNC((D314*E314),2)</f>
        <v>85.84</v>
      </c>
    </row>
    <row r="315" spans="1:6">
      <c r="A315" s="145"/>
      <c r="B315" s="191"/>
      <c r="C315" s="152"/>
      <c r="D315" s="192"/>
      <c r="E315" s="295" t="s">
        <v>60</v>
      </c>
      <c r="F315" s="403">
        <f>SUM(F314:F314)</f>
        <v>85.84</v>
      </c>
    </row>
    <row r="316" spans="1:6" ht="15.75" thickBot="1">
      <c r="A316" s="104"/>
      <c r="B316" s="2057" t="s">
        <v>55</v>
      </c>
      <c r="C316" s="2058"/>
      <c r="D316" s="2058"/>
      <c r="E316" s="2059"/>
      <c r="F316" s="1624">
        <f>F312+F315</f>
        <v>100.04</v>
      </c>
    </row>
    <row r="317" spans="1:6" ht="15.75" thickBot="1"/>
    <row r="318" spans="1:6" ht="51">
      <c r="A318" s="419" t="s">
        <v>1073</v>
      </c>
      <c r="B318" s="703" t="s">
        <v>1074</v>
      </c>
      <c r="C318" s="782" t="s">
        <v>48</v>
      </c>
      <c r="D318" s="783"/>
      <c r="E318" s="784"/>
      <c r="F318" s="785"/>
    </row>
    <row r="319" spans="1:6">
      <c r="A319" s="2054" t="s">
        <v>1087</v>
      </c>
      <c r="B319" s="2055"/>
      <c r="C319" s="2055"/>
      <c r="D319" s="2055"/>
      <c r="E319" s="2055"/>
      <c r="F319" s="2056"/>
    </row>
    <row r="320" spans="1:6" ht="30">
      <c r="A320" s="1015"/>
      <c r="B320" s="1024" t="s">
        <v>58</v>
      </c>
      <c r="C320" s="94" t="s">
        <v>51</v>
      </c>
      <c r="D320" s="95" t="s">
        <v>52</v>
      </c>
      <c r="E320" s="258" t="s">
        <v>64</v>
      </c>
      <c r="F320" s="1016" t="s">
        <v>54</v>
      </c>
    </row>
    <row r="321" spans="1:6" ht="25.5">
      <c r="A321" s="388">
        <v>88256</v>
      </c>
      <c r="B321" s="1717" t="s">
        <v>1045</v>
      </c>
      <c r="C321" s="99" t="s">
        <v>59</v>
      </c>
      <c r="D321" s="225">
        <v>0.91</v>
      </c>
      <c r="E321" s="223">
        <v>19.79</v>
      </c>
      <c r="F321" s="1018">
        <f>TRUNC((D321*E321),2)</f>
        <v>18</v>
      </c>
    </row>
    <row r="322" spans="1:6">
      <c r="A322" s="1019">
        <v>88316</v>
      </c>
      <c r="B322" s="787" t="s">
        <v>68</v>
      </c>
      <c r="C322" s="99" t="s">
        <v>59</v>
      </c>
      <c r="D322" s="225">
        <v>0.46</v>
      </c>
      <c r="E322" s="223">
        <v>15.65</v>
      </c>
      <c r="F322" s="1018">
        <f>TRUNC((D322*E322),2)</f>
        <v>7.19</v>
      </c>
    </row>
    <row r="323" spans="1:6">
      <c r="A323" s="1711"/>
      <c r="B323" s="1020"/>
      <c r="C323" s="32" t="s">
        <v>43</v>
      </c>
      <c r="D323" s="100" t="s">
        <v>43</v>
      </c>
      <c r="E323" s="295" t="s">
        <v>60</v>
      </c>
      <c r="F323" s="1021">
        <f>SUM(F321:F322)</f>
        <v>25.19</v>
      </c>
    </row>
    <row r="324" spans="1:6" ht="30">
      <c r="A324" s="1711"/>
      <c r="B324" s="1024" t="s">
        <v>95</v>
      </c>
      <c r="C324" s="94" t="s">
        <v>51</v>
      </c>
      <c r="D324" s="95" t="s">
        <v>52</v>
      </c>
      <c r="E324" s="258" t="s">
        <v>64</v>
      </c>
      <c r="F324" s="1016" t="s">
        <v>54</v>
      </c>
    </row>
    <row r="325" spans="1:6" ht="25.5">
      <c r="A325" s="388">
        <v>536</v>
      </c>
      <c r="B325" s="204" t="s">
        <v>1075</v>
      </c>
      <c r="C325" s="99" t="s">
        <v>48</v>
      </c>
      <c r="D325" s="390">
        <v>1.0900000000000001</v>
      </c>
      <c r="E325" s="223">
        <v>25</v>
      </c>
      <c r="F325" s="1018">
        <f>TRUNC((D325*E325),2)</f>
        <v>27.25</v>
      </c>
    </row>
    <row r="326" spans="1:6">
      <c r="A326" s="388">
        <v>1381</v>
      </c>
      <c r="B326" s="204" t="s">
        <v>1076</v>
      </c>
      <c r="C326" s="99" t="s">
        <v>101</v>
      </c>
      <c r="D326" s="390">
        <v>6.14</v>
      </c>
      <c r="E326" s="223">
        <v>0.78</v>
      </c>
      <c r="F326" s="1018">
        <f t="shared" ref="F326:F327" si="1">TRUNC((D326*E326),2)</f>
        <v>4.78</v>
      </c>
    </row>
    <row r="327" spans="1:6">
      <c r="A327" s="388">
        <v>34357</v>
      </c>
      <c r="B327" s="204" t="s">
        <v>1046</v>
      </c>
      <c r="C327" s="99" t="s">
        <v>101</v>
      </c>
      <c r="D327" s="390">
        <v>0.22</v>
      </c>
      <c r="E327" s="223">
        <v>4.58</v>
      </c>
      <c r="F327" s="1018">
        <f t="shared" si="1"/>
        <v>1</v>
      </c>
    </row>
    <row r="328" spans="1:6">
      <c r="A328" s="145"/>
      <c r="B328" s="191"/>
      <c r="C328" s="152"/>
      <c r="D328" s="192"/>
      <c r="E328" s="295" t="s">
        <v>60</v>
      </c>
      <c r="F328" s="403">
        <f>SUM(F325:F327)</f>
        <v>33.03</v>
      </c>
    </row>
    <row r="329" spans="1:6" ht="15.75" thickBot="1">
      <c r="A329" s="104"/>
      <c r="B329" s="2057" t="s">
        <v>55</v>
      </c>
      <c r="C329" s="2058"/>
      <c r="D329" s="2058"/>
      <c r="E329" s="2059"/>
      <c r="F329" s="1624">
        <f>F323+F328</f>
        <v>58.22</v>
      </c>
    </row>
    <row r="330" spans="1:6" ht="15.75" thickBot="1"/>
    <row r="331" spans="1:6" ht="51">
      <c r="A331" s="419" t="s">
        <v>1077</v>
      </c>
      <c r="B331" s="703" t="s">
        <v>1078</v>
      </c>
      <c r="C331" s="782" t="s">
        <v>48</v>
      </c>
      <c r="D331" s="783"/>
      <c r="E331" s="784"/>
      <c r="F331" s="785"/>
    </row>
    <row r="332" spans="1:6">
      <c r="A332" s="2054" t="s">
        <v>1086</v>
      </c>
      <c r="B332" s="2055"/>
      <c r="C332" s="2055"/>
      <c r="D332" s="2055"/>
      <c r="E332" s="2055"/>
      <c r="F332" s="2056"/>
    </row>
    <row r="333" spans="1:6" ht="30">
      <c r="A333" s="1015"/>
      <c r="B333" s="1024" t="s">
        <v>58</v>
      </c>
      <c r="C333" s="1763" t="s">
        <v>51</v>
      </c>
      <c r="D333" s="1764" t="s">
        <v>52</v>
      </c>
      <c r="E333" s="1765" t="s">
        <v>64</v>
      </c>
      <c r="F333" s="1016" t="s">
        <v>54</v>
      </c>
    </row>
    <row r="334" spans="1:6" ht="25.5">
      <c r="A334" s="388">
        <v>88256</v>
      </c>
      <c r="B334" s="204" t="s">
        <v>1045</v>
      </c>
      <c r="C334" s="99" t="s">
        <v>59</v>
      </c>
      <c r="D334" s="225">
        <v>1.02</v>
      </c>
      <c r="E334" s="223">
        <v>19.79</v>
      </c>
      <c r="F334" s="224">
        <f>TRUNC((D334*E334),2)</f>
        <v>20.18</v>
      </c>
    </row>
    <row r="335" spans="1:6">
      <c r="A335" s="1019">
        <v>88316</v>
      </c>
      <c r="B335" s="787" t="s">
        <v>68</v>
      </c>
      <c r="C335" s="99" t="s">
        <v>59</v>
      </c>
      <c r="D335" s="225">
        <v>0.5</v>
      </c>
      <c r="E335" s="223">
        <v>15.65</v>
      </c>
      <c r="F335" s="1018">
        <f>TRUNC((D335*E335),2)</f>
        <v>7.82</v>
      </c>
    </row>
    <row r="336" spans="1:6">
      <c r="A336" s="1711"/>
      <c r="B336" s="1020"/>
      <c r="C336" s="32" t="s">
        <v>43</v>
      </c>
      <c r="D336" s="100" t="s">
        <v>43</v>
      </c>
      <c r="E336" s="295" t="s">
        <v>60</v>
      </c>
      <c r="F336" s="1021">
        <f>SUM(F334:F335)</f>
        <v>28</v>
      </c>
    </row>
    <row r="337" spans="1:8" ht="30">
      <c r="A337" s="1711"/>
      <c r="B337" s="1024" t="s">
        <v>95</v>
      </c>
      <c r="C337" s="94" t="s">
        <v>51</v>
      </c>
      <c r="D337" s="95" t="s">
        <v>52</v>
      </c>
      <c r="E337" s="258" t="s">
        <v>64</v>
      </c>
      <c r="F337" s="1016" t="s">
        <v>54</v>
      </c>
    </row>
    <row r="338" spans="1:8" ht="25.5">
      <c r="A338" s="388">
        <v>536</v>
      </c>
      <c r="B338" s="204" t="s">
        <v>1075</v>
      </c>
      <c r="C338" s="99" t="s">
        <v>48</v>
      </c>
      <c r="D338" s="390">
        <v>1.0900000000000001</v>
      </c>
      <c r="E338" s="223">
        <v>25</v>
      </c>
      <c r="F338" s="1018">
        <f>TRUNC((D338*E338),2)</f>
        <v>27.25</v>
      </c>
    </row>
    <row r="339" spans="1:8">
      <c r="A339" s="388">
        <v>1381</v>
      </c>
      <c r="B339" s="204" t="s">
        <v>1076</v>
      </c>
      <c r="C339" s="99" t="s">
        <v>101</v>
      </c>
      <c r="D339" s="390">
        <v>6.14</v>
      </c>
      <c r="E339" s="223">
        <v>0.78</v>
      </c>
      <c r="F339" s="1018">
        <f t="shared" ref="F339:F340" si="2">TRUNC((D339*E339),2)</f>
        <v>4.78</v>
      </c>
    </row>
    <row r="340" spans="1:8">
      <c r="A340" s="388">
        <v>34357</v>
      </c>
      <c r="B340" s="204" t="s">
        <v>1046</v>
      </c>
      <c r="C340" s="99" t="s">
        <v>101</v>
      </c>
      <c r="D340" s="390">
        <v>0.22</v>
      </c>
      <c r="E340" s="223">
        <v>4.58</v>
      </c>
      <c r="F340" s="1018">
        <f t="shared" si="2"/>
        <v>1</v>
      </c>
    </row>
    <row r="341" spans="1:8">
      <c r="A341" s="145"/>
      <c r="B341" s="191"/>
      <c r="C341" s="152"/>
      <c r="D341" s="192"/>
      <c r="E341" s="295" t="s">
        <v>60</v>
      </c>
      <c r="F341" s="403">
        <f>SUM(F338:F340)</f>
        <v>33.03</v>
      </c>
    </row>
    <row r="342" spans="1:8" ht="15.75" thickBot="1">
      <c r="A342" s="104"/>
      <c r="B342" s="2057" t="s">
        <v>55</v>
      </c>
      <c r="C342" s="2058"/>
      <c r="D342" s="2058"/>
      <c r="E342" s="2059"/>
      <c r="F342" s="1624">
        <f>F336+F341</f>
        <v>61.03</v>
      </c>
    </row>
    <row r="343" spans="1:8" ht="15.75" thickBot="1"/>
    <row r="344" spans="1:8" ht="29.25" customHeight="1">
      <c r="A344" s="419" t="s">
        <v>1083</v>
      </c>
      <c r="B344" s="798" t="s">
        <v>1097</v>
      </c>
      <c r="C344" s="782" t="s">
        <v>48</v>
      </c>
      <c r="D344" s="783"/>
      <c r="E344" s="784"/>
      <c r="F344" s="785"/>
    </row>
    <row r="345" spans="1:8" ht="15" customHeight="1">
      <c r="A345" s="2054" t="s">
        <v>1095</v>
      </c>
      <c r="B345" s="2055"/>
      <c r="C345" s="2055"/>
      <c r="D345" s="2055"/>
      <c r="E345" s="2055"/>
      <c r="F345" s="2056"/>
    </row>
    <row r="346" spans="1:8" ht="30">
      <c r="A346" s="1015"/>
      <c r="B346" s="1024" t="s">
        <v>58</v>
      </c>
      <c r="C346" s="94" t="s">
        <v>51</v>
      </c>
      <c r="D346" s="95" t="s">
        <v>52</v>
      </c>
      <c r="E346" s="258" t="s">
        <v>64</v>
      </c>
      <c r="F346" s="1016" t="s">
        <v>54</v>
      </c>
    </row>
    <row r="347" spans="1:8" ht="25.5">
      <c r="A347" s="388">
        <v>88256</v>
      </c>
      <c r="B347" s="1717" t="s">
        <v>1045</v>
      </c>
      <c r="C347" s="99" t="s">
        <v>59</v>
      </c>
      <c r="D347" s="225">
        <v>0.4</v>
      </c>
      <c r="E347" s="223">
        <v>19.79</v>
      </c>
      <c r="F347" s="1018">
        <f>TRUNC((D347*E347),2)</f>
        <v>7.91</v>
      </c>
    </row>
    <row r="348" spans="1:8">
      <c r="A348" s="1019">
        <v>88316</v>
      </c>
      <c r="B348" s="787" t="s">
        <v>68</v>
      </c>
      <c r="C348" s="99" t="s">
        <v>59</v>
      </c>
      <c r="D348" s="225">
        <v>0.34</v>
      </c>
      <c r="E348" s="223">
        <v>15.65</v>
      </c>
      <c r="F348" s="1018">
        <f>TRUNC((D348*E348),2)</f>
        <v>5.32</v>
      </c>
    </row>
    <row r="349" spans="1:8">
      <c r="A349" s="1711"/>
      <c r="B349" s="1020"/>
      <c r="C349" s="32" t="s">
        <v>43</v>
      </c>
      <c r="D349" s="100" t="s">
        <v>43</v>
      </c>
      <c r="E349" s="295" t="s">
        <v>60</v>
      </c>
      <c r="F349" s="1021">
        <f>SUM(F347:F348)</f>
        <v>13.23</v>
      </c>
    </row>
    <row r="350" spans="1:8" ht="30">
      <c r="A350" s="1711"/>
      <c r="B350" s="1024" t="s">
        <v>95</v>
      </c>
      <c r="C350" s="94" t="s">
        <v>51</v>
      </c>
      <c r="D350" s="95" t="s">
        <v>52</v>
      </c>
      <c r="E350" s="258" t="s">
        <v>64</v>
      </c>
      <c r="F350" s="1016" t="s">
        <v>54</v>
      </c>
    </row>
    <row r="351" spans="1:8" ht="25.5">
      <c r="A351" s="361" t="s">
        <v>67</v>
      </c>
      <c r="B351" s="799" t="s">
        <v>1098</v>
      </c>
      <c r="C351" s="99" t="s">
        <v>48</v>
      </c>
      <c r="D351" s="390">
        <v>1.05</v>
      </c>
      <c r="E351" s="223">
        <v>133.62</v>
      </c>
      <c r="F351" s="1018">
        <f>TRUNC((D351*E351),2)</f>
        <v>140.30000000000001</v>
      </c>
      <c r="H351" s="796"/>
    </row>
    <row r="352" spans="1:8">
      <c r="A352" s="388">
        <v>34353</v>
      </c>
      <c r="B352" s="204" t="s">
        <v>1096</v>
      </c>
      <c r="C352" s="99" t="s">
        <v>101</v>
      </c>
      <c r="D352" s="390">
        <v>4</v>
      </c>
      <c r="E352" s="223">
        <v>1.45</v>
      </c>
      <c r="F352" s="1018">
        <f>TRUNC((D352*E352),2)</f>
        <v>5.8</v>
      </c>
    </row>
    <row r="353" spans="1:7">
      <c r="A353" s="388">
        <v>34357</v>
      </c>
      <c r="B353" s="204" t="s">
        <v>1046</v>
      </c>
      <c r="C353" s="99" t="s">
        <v>101</v>
      </c>
      <c r="D353" s="390">
        <v>0.66</v>
      </c>
      <c r="E353" s="223">
        <v>4.58</v>
      </c>
      <c r="F353" s="1018">
        <f>TRUNC((D353*E353),2)</f>
        <v>3.02</v>
      </c>
    </row>
    <row r="354" spans="1:7">
      <c r="A354" s="145"/>
      <c r="B354" s="191"/>
      <c r="C354" s="152"/>
      <c r="D354" s="192"/>
      <c r="E354" s="295" t="s">
        <v>60</v>
      </c>
      <c r="F354" s="403">
        <f>F351+F352+F353</f>
        <v>149.12000000000003</v>
      </c>
    </row>
    <row r="355" spans="1:7" ht="15.75" thickBot="1">
      <c r="A355" s="104"/>
      <c r="B355" s="2057" t="s">
        <v>55</v>
      </c>
      <c r="C355" s="2058"/>
      <c r="D355" s="2058"/>
      <c r="E355" s="2059"/>
      <c r="F355" s="1624">
        <f>SUM(F349,F354)</f>
        <v>162.35000000000002</v>
      </c>
      <c r="G355" s="754"/>
    </row>
    <row r="356" spans="1:7">
      <c r="A356" s="194"/>
      <c r="B356" s="2076" t="s">
        <v>96</v>
      </c>
      <c r="C356" s="2077"/>
      <c r="D356" s="2077"/>
      <c r="E356" s="2078"/>
      <c r="F356" s="195"/>
    </row>
    <row r="357" spans="1:7" ht="25.5">
      <c r="A357" s="163" t="s">
        <v>61</v>
      </c>
      <c r="B357" s="107" t="s">
        <v>97</v>
      </c>
      <c r="C357" s="294" t="s">
        <v>98</v>
      </c>
      <c r="D357" s="2060" t="s">
        <v>62</v>
      </c>
      <c r="E357" s="2060"/>
      <c r="F357" s="164" t="s">
        <v>99</v>
      </c>
    </row>
    <row r="358" spans="1:7" ht="25.5">
      <c r="A358" s="222">
        <v>44230</v>
      </c>
      <c r="B358" s="204" t="s">
        <v>2261</v>
      </c>
      <c r="C358" s="202">
        <v>133.62</v>
      </c>
      <c r="D358" s="2061" t="s">
        <v>2262</v>
      </c>
      <c r="E358" s="2062"/>
      <c r="F358" s="148" t="s">
        <v>2263</v>
      </c>
    </row>
    <row r="359" spans="1:7" ht="25.5">
      <c r="A359" s="222">
        <v>44405</v>
      </c>
      <c r="B359" s="204" t="s">
        <v>2264</v>
      </c>
      <c r="C359" s="202">
        <v>246.35</v>
      </c>
      <c r="D359" s="2061" t="s">
        <v>2265</v>
      </c>
      <c r="E359" s="2062"/>
      <c r="F359" s="148" t="s">
        <v>2266</v>
      </c>
    </row>
    <row r="360" spans="1:7" ht="25.5">
      <c r="A360" s="222">
        <v>44407</v>
      </c>
      <c r="B360" s="204" t="s">
        <v>2267</v>
      </c>
      <c r="C360" s="202">
        <v>89.06</v>
      </c>
      <c r="D360" s="2061" t="s">
        <v>2268</v>
      </c>
      <c r="E360" s="2062"/>
      <c r="F360" s="148" t="s">
        <v>2269</v>
      </c>
    </row>
    <row r="361" spans="1:7" ht="15.75" thickBot="1">
      <c r="A361" s="149"/>
      <c r="B361" s="312" t="s">
        <v>63</v>
      </c>
      <c r="C361" s="150">
        <f>MEDIAN(C358:C360)</f>
        <v>133.62</v>
      </c>
      <c r="D361" s="2079"/>
      <c r="E361" s="2080"/>
      <c r="F361" s="151"/>
    </row>
    <row r="362" spans="1:7" ht="39" thickBot="1">
      <c r="A362" s="1569" t="s">
        <v>2270</v>
      </c>
      <c r="B362" s="1666" t="s">
        <v>2271</v>
      </c>
      <c r="C362" s="2129"/>
      <c r="D362" s="2129"/>
      <c r="E362" s="2130"/>
      <c r="F362" s="1570"/>
    </row>
    <row r="363" spans="1:7" ht="15.75" thickBot="1"/>
    <row r="364" spans="1:7" ht="25.5">
      <c r="A364" s="419" t="s">
        <v>1084</v>
      </c>
      <c r="B364" s="703" t="s">
        <v>1224</v>
      </c>
      <c r="C364" s="782"/>
      <c r="D364" s="841" t="s">
        <v>1226</v>
      </c>
      <c r="E364" s="784"/>
      <c r="F364" s="785"/>
    </row>
    <row r="365" spans="1:7" ht="15" customHeight="1" thickBot="1">
      <c r="A365" s="2121" t="s">
        <v>1225</v>
      </c>
      <c r="B365" s="2122"/>
      <c r="C365" s="2122"/>
      <c r="D365" s="2122"/>
      <c r="E365" s="2122"/>
      <c r="F365" s="2123"/>
    </row>
    <row r="366" spans="1:7" ht="30">
      <c r="A366" s="1743"/>
      <c r="B366" s="1744" t="s">
        <v>58</v>
      </c>
      <c r="C366" s="1745" t="s">
        <v>51</v>
      </c>
      <c r="D366" s="1746" t="s">
        <v>52</v>
      </c>
      <c r="E366" s="1719" t="s">
        <v>64</v>
      </c>
      <c r="F366" s="1747" t="s">
        <v>54</v>
      </c>
    </row>
    <row r="367" spans="1:7">
      <c r="A367" s="1019"/>
      <c r="B367" s="787"/>
      <c r="C367" s="99" t="s">
        <v>59</v>
      </c>
      <c r="D367" s="225"/>
      <c r="E367" s="223"/>
      <c r="F367" s="1018">
        <f>TRUNC((D367*E367),2)</f>
        <v>0</v>
      </c>
    </row>
    <row r="368" spans="1:7">
      <c r="A368" s="1711"/>
      <c r="B368" s="1020"/>
      <c r="C368" s="32" t="s">
        <v>43</v>
      </c>
      <c r="D368" s="100" t="s">
        <v>43</v>
      </c>
      <c r="E368" s="295" t="s">
        <v>60</v>
      </c>
      <c r="F368" s="1021">
        <f>SUM(F367:F367)</f>
        <v>0</v>
      </c>
    </row>
    <row r="369" spans="1:6" ht="30">
      <c r="A369" s="1711"/>
      <c r="B369" s="1024" t="s">
        <v>95</v>
      </c>
      <c r="C369" s="94" t="s">
        <v>51</v>
      </c>
      <c r="D369" s="95" t="s">
        <v>52</v>
      </c>
      <c r="E369" s="258" t="s">
        <v>64</v>
      </c>
      <c r="F369" s="1016" t="s">
        <v>54</v>
      </c>
    </row>
    <row r="370" spans="1:6">
      <c r="A370" s="361" t="s">
        <v>67</v>
      </c>
      <c r="B370" s="204" t="s">
        <v>323</v>
      </c>
      <c r="C370" s="99" t="s">
        <v>57</v>
      </c>
      <c r="D370" s="390">
        <v>1</v>
      </c>
      <c r="E370" s="223">
        <v>8500</v>
      </c>
      <c r="F370" s="1018">
        <f>TRUNC((D370*E370),2)</f>
        <v>8500</v>
      </c>
    </row>
    <row r="371" spans="1:6">
      <c r="A371" s="145"/>
      <c r="B371" s="191"/>
      <c r="C371" s="152"/>
      <c r="D371" s="192"/>
      <c r="E371" s="295" t="s">
        <v>60</v>
      </c>
      <c r="F371" s="403">
        <f>SUM(F370:F370)</f>
        <v>8500</v>
      </c>
    </row>
    <row r="372" spans="1:6" ht="15.75" thickBot="1">
      <c r="A372" s="104"/>
      <c r="B372" s="2057" t="s">
        <v>55</v>
      </c>
      <c r="C372" s="2058"/>
      <c r="D372" s="2058"/>
      <c r="E372" s="2059"/>
      <c r="F372" s="1624">
        <f>F368+F371</f>
        <v>8500</v>
      </c>
    </row>
    <row r="373" spans="1:6">
      <c r="A373" s="194"/>
      <c r="B373" s="2076" t="s">
        <v>96</v>
      </c>
      <c r="C373" s="2077"/>
      <c r="D373" s="2077"/>
      <c r="E373" s="2078"/>
      <c r="F373" s="195"/>
    </row>
    <row r="374" spans="1:6" ht="25.5">
      <c r="A374" s="163" t="s">
        <v>61</v>
      </c>
      <c r="B374" s="107" t="s">
        <v>97</v>
      </c>
      <c r="C374" s="294" t="s">
        <v>98</v>
      </c>
      <c r="D374" s="2060" t="s">
        <v>62</v>
      </c>
      <c r="E374" s="2060"/>
      <c r="F374" s="164" t="s">
        <v>99</v>
      </c>
    </row>
    <row r="375" spans="1:6" ht="25.5">
      <c r="A375" s="163" t="s">
        <v>61</v>
      </c>
      <c r="B375" s="107" t="s">
        <v>97</v>
      </c>
      <c r="C375" s="294" t="s">
        <v>98</v>
      </c>
      <c r="D375" s="2060" t="s">
        <v>62</v>
      </c>
      <c r="E375" s="2060"/>
      <c r="F375" s="164" t="s">
        <v>99</v>
      </c>
    </row>
    <row r="376" spans="1:6" ht="25.5">
      <c r="A376" s="222">
        <v>44403</v>
      </c>
      <c r="B376" s="204" t="s">
        <v>2272</v>
      </c>
      <c r="C376" s="202">
        <v>15890</v>
      </c>
      <c r="D376" s="2061" t="s">
        <v>2273</v>
      </c>
      <c r="E376" s="2062"/>
      <c r="F376" s="148" t="s">
        <v>2274</v>
      </c>
    </row>
    <row r="377" spans="1:6" ht="25.5">
      <c r="A377" s="1571">
        <v>44403</v>
      </c>
      <c r="B377" s="1572" t="s">
        <v>2275</v>
      </c>
      <c r="C377" s="1573">
        <v>8500</v>
      </c>
      <c r="D377" s="2063" t="s">
        <v>2276</v>
      </c>
      <c r="E377" s="2064"/>
      <c r="F377" s="1574" t="s">
        <v>2277</v>
      </c>
    </row>
    <row r="378" spans="1:6" ht="30">
      <c r="A378" s="222">
        <v>44389</v>
      </c>
      <c r="B378" s="406" t="s">
        <v>2278</v>
      </c>
      <c r="C378" s="202">
        <v>5800</v>
      </c>
      <c r="D378" s="2065" t="s">
        <v>2279</v>
      </c>
      <c r="E378" s="2065"/>
      <c r="F378" s="1575" t="s">
        <v>2280</v>
      </c>
    </row>
    <row r="379" spans="1:6" ht="15.75" thickBot="1">
      <c r="A379" s="149"/>
      <c r="B379" s="312" t="s">
        <v>63</v>
      </c>
      <c r="C379" s="150">
        <f>MEDIAN(C376:C378)</f>
        <v>8500</v>
      </c>
      <c r="D379" s="2079"/>
      <c r="E379" s="2080"/>
      <c r="F379" s="151"/>
    </row>
    <row r="380" spans="1:6" ht="15.75" thickBot="1"/>
    <row r="381" spans="1:6" ht="18.75" customHeight="1">
      <c r="A381" s="419" t="s">
        <v>1085</v>
      </c>
      <c r="B381" s="703" t="s">
        <v>2281</v>
      </c>
      <c r="C381" s="782" t="s">
        <v>1226</v>
      </c>
      <c r="D381" s="783"/>
      <c r="E381" s="784"/>
      <c r="F381" s="785"/>
    </row>
    <row r="382" spans="1:6">
      <c r="A382" s="2054" t="s">
        <v>1088</v>
      </c>
      <c r="B382" s="2055"/>
      <c r="C382" s="2055"/>
      <c r="D382" s="2055"/>
      <c r="E382" s="2055"/>
      <c r="F382" s="2056"/>
    </row>
    <row r="383" spans="1:6" ht="30">
      <c r="A383" s="1015"/>
      <c r="B383" s="1024" t="s">
        <v>58</v>
      </c>
      <c r="C383" s="94" t="s">
        <v>51</v>
      </c>
      <c r="D383" s="95" t="s">
        <v>52</v>
      </c>
      <c r="E383" s="258" t="s">
        <v>64</v>
      </c>
      <c r="F383" s="1016" t="s">
        <v>54</v>
      </c>
    </row>
    <row r="384" spans="1:6">
      <c r="A384" s="1019"/>
      <c r="B384" s="787"/>
      <c r="C384" s="99"/>
      <c r="D384" s="225"/>
      <c r="E384" s="223"/>
      <c r="F384" s="1018">
        <f>TRUNC((D384*E384),2)</f>
        <v>0</v>
      </c>
    </row>
    <row r="385" spans="1:9">
      <c r="A385" s="1711"/>
      <c r="B385" s="1020"/>
      <c r="C385" s="32" t="s">
        <v>43</v>
      </c>
      <c r="D385" s="100" t="s">
        <v>43</v>
      </c>
      <c r="E385" s="295" t="s">
        <v>60</v>
      </c>
      <c r="F385" s="1021">
        <f>SUM(F384:F384)</f>
        <v>0</v>
      </c>
    </row>
    <row r="386" spans="1:9" ht="30">
      <c r="A386" s="1711"/>
      <c r="B386" s="1024" t="s">
        <v>95</v>
      </c>
      <c r="C386" s="94" t="s">
        <v>51</v>
      </c>
      <c r="D386" s="95" t="s">
        <v>52</v>
      </c>
      <c r="E386" s="258" t="s">
        <v>64</v>
      </c>
      <c r="F386" s="1016" t="s">
        <v>54</v>
      </c>
    </row>
    <row r="387" spans="1:9">
      <c r="A387" s="361" t="s">
        <v>67</v>
      </c>
      <c r="B387" s="204" t="s">
        <v>2281</v>
      </c>
      <c r="C387" s="99" t="s">
        <v>57</v>
      </c>
      <c r="D387" s="390">
        <v>1</v>
      </c>
      <c r="E387" s="223">
        <v>6500</v>
      </c>
      <c r="F387" s="1018">
        <f>TRUNC((D387*E387),2)</f>
        <v>6500</v>
      </c>
    </row>
    <row r="388" spans="1:9">
      <c r="A388" s="145"/>
      <c r="B388" s="191"/>
      <c r="C388" s="152"/>
      <c r="D388" s="192"/>
      <c r="E388" s="295" t="s">
        <v>60</v>
      </c>
      <c r="F388" s="403">
        <f>SUM(F387:F387)</f>
        <v>6500</v>
      </c>
    </row>
    <row r="389" spans="1:9" ht="15.75" thickBot="1">
      <c r="A389" s="104"/>
      <c r="B389" s="2057" t="s">
        <v>55</v>
      </c>
      <c r="C389" s="2058"/>
      <c r="D389" s="2058"/>
      <c r="E389" s="2059"/>
      <c r="F389" s="1624">
        <f>F385+F388</f>
        <v>6500</v>
      </c>
    </row>
    <row r="390" spans="1:9">
      <c r="A390" s="479"/>
      <c r="B390" s="2066" t="s">
        <v>96</v>
      </c>
      <c r="C390" s="2067"/>
      <c r="D390" s="2067"/>
      <c r="E390" s="2068"/>
      <c r="F390" s="480"/>
    </row>
    <row r="391" spans="1:9" ht="25.5">
      <c r="A391" s="163" t="s">
        <v>61</v>
      </c>
      <c r="B391" s="107" t="s">
        <v>97</v>
      </c>
      <c r="C391" s="294" t="s">
        <v>98</v>
      </c>
      <c r="D391" s="2060" t="s">
        <v>62</v>
      </c>
      <c r="E391" s="2060"/>
      <c r="F391" s="164" t="s">
        <v>99</v>
      </c>
    </row>
    <row r="392" spans="1:9" ht="25.5">
      <c r="A392" s="222">
        <v>44391</v>
      </c>
      <c r="B392" s="204" t="s">
        <v>1621</v>
      </c>
      <c r="C392" s="202">
        <v>4990</v>
      </c>
      <c r="D392" s="2061" t="s">
        <v>1622</v>
      </c>
      <c r="E392" s="2062"/>
      <c r="F392" s="148" t="s">
        <v>2282</v>
      </c>
      <c r="H392" s="842"/>
    </row>
    <row r="393" spans="1:9" ht="25.5">
      <c r="A393" s="1571">
        <v>44390</v>
      </c>
      <c r="B393" s="1572" t="s">
        <v>1623</v>
      </c>
      <c r="C393" s="1573">
        <v>9879</v>
      </c>
      <c r="D393" s="2063" t="s">
        <v>2283</v>
      </c>
      <c r="E393" s="2064"/>
      <c r="F393" s="1574" t="s">
        <v>2284</v>
      </c>
      <c r="H393" s="842"/>
      <c r="I393" s="842"/>
    </row>
    <row r="394" spans="1:9" ht="25.5">
      <c r="A394" s="222">
        <v>44400</v>
      </c>
      <c r="B394" s="406" t="s">
        <v>2285</v>
      </c>
      <c r="C394" s="202">
        <v>6500</v>
      </c>
      <c r="D394" s="2065" t="s">
        <v>2286</v>
      </c>
      <c r="E394" s="2065"/>
      <c r="F394" s="148" t="s">
        <v>2287</v>
      </c>
    </row>
    <row r="395" spans="1:9" ht="15.75" thickBot="1">
      <c r="A395" s="1759"/>
      <c r="B395" s="1760" t="s">
        <v>63</v>
      </c>
      <c r="C395" s="1761">
        <f>MEDIAN(C392:C394)</f>
        <v>6500</v>
      </c>
      <c r="D395" s="2124"/>
      <c r="E395" s="2125"/>
      <c r="F395" s="1762"/>
    </row>
    <row r="396" spans="1:9" ht="15.75" thickBot="1"/>
    <row r="397" spans="1:9">
      <c r="A397" s="419" t="s">
        <v>1230</v>
      </c>
      <c r="B397" s="417" t="s">
        <v>2331</v>
      </c>
      <c r="C397" s="782" t="s">
        <v>1226</v>
      </c>
      <c r="D397" s="783"/>
      <c r="E397" s="784"/>
      <c r="F397" s="785"/>
    </row>
    <row r="398" spans="1:9">
      <c r="A398" s="2126" t="s">
        <v>1088</v>
      </c>
      <c r="B398" s="2127"/>
      <c r="C398" s="2127"/>
      <c r="D398" s="2127"/>
      <c r="E398" s="2127"/>
      <c r="F398" s="2128"/>
    </row>
    <row r="399" spans="1:9" ht="30">
      <c r="A399" s="92"/>
      <c r="B399" s="93" t="s">
        <v>58</v>
      </c>
      <c r="C399" s="94" t="s">
        <v>51</v>
      </c>
      <c r="D399" s="95" t="s">
        <v>52</v>
      </c>
      <c r="E399" s="107" t="s">
        <v>64</v>
      </c>
      <c r="F399" s="96" t="s">
        <v>54</v>
      </c>
    </row>
    <row r="400" spans="1:9">
      <c r="A400" s="1019"/>
      <c r="B400" s="787"/>
      <c r="C400" s="99"/>
      <c r="D400" s="225"/>
      <c r="E400" s="223"/>
      <c r="F400" s="1018">
        <f>TRUNC((D400*E400),2)</f>
        <v>0</v>
      </c>
      <c r="H400" s="321" t="s">
        <v>1674</v>
      </c>
    </row>
    <row r="401" spans="1:8">
      <c r="A401" s="1711"/>
      <c r="B401" s="1020"/>
      <c r="C401" s="32" t="s">
        <v>43</v>
      </c>
      <c r="D401" s="100" t="s">
        <v>43</v>
      </c>
      <c r="E401" s="295" t="s">
        <v>60</v>
      </c>
      <c r="F401" s="1021">
        <f>SUM(F400:F400)</f>
        <v>0</v>
      </c>
      <c r="H401" s="321" t="s">
        <v>2253</v>
      </c>
    </row>
    <row r="402" spans="1:8" ht="30">
      <c r="A402" s="1711"/>
      <c r="B402" s="1024" t="s">
        <v>95</v>
      </c>
      <c r="C402" s="94" t="s">
        <v>51</v>
      </c>
      <c r="D402" s="95" t="s">
        <v>52</v>
      </c>
      <c r="E402" s="258" t="s">
        <v>64</v>
      </c>
      <c r="F402" s="1016" t="s">
        <v>54</v>
      </c>
    </row>
    <row r="403" spans="1:8" ht="24.75" customHeight="1">
      <c r="A403" s="361" t="s">
        <v>67</v>
      </c>
      <c r="B403" s="204" t="s">
        <v>2332</v>
      </c>
      <c r="C403" s="99" t="s">
        <v>57</v>
      </c>
      <c r="D403" s="390">
        <v>1</v>
      </c>
      <c r="E403" s="223">
        <v>9130.7199999999993</v>
      </c>
      <c r="F403" s="1018">
        <f>TRUNC((D403*E403),2)</f>
        <v>9130.7199999999993</v>
      </c>
    </row>
    <row r="404" spans="1:8">
      <c r="A404" s="145"/>
      <c r="B404" s="191"/>
      <c r="C404" s="152"/>
      <c r="D404" s="192"/>
      <c r="E404" s="295" t="s">
        <v>60</v>
      </c>
      <c r="F404" s="403">
        <f>SUM(F403:F403)</f>
        <v>9130.7199999999993</v>
      </c>
    </row>
    <row r="405" spans="1:8" ht="15.75" thickBot="1">
      <c r="A405" s="104"/>
      <c r="B405" s="2057" t="s">
        <v>55</v>
      </c>
      <c r="C405" s="2058"/>
      <c r="D405" s="2058"/>
      <c r="E405" s="2059"/>
      <c r="F405" s="1624">
        <f>F401+F404</f>
        <v>9130.7199999999993</v>
      </c>
    </row>
    <row r="406" spans="1:8" ht="15.75" thickBot="1">
      <c r="A406" s="104"/>
      <c r="B406" s="2069" t="s">
        <v>96</v>
      </c>
      <c r="C406" s="2070"/>
      <c r="D406" s="2070"/>
      <c r="E406" s="2071"/>
      <c r="F406" s="1596"/>
    </row>
    <row r="407" spans="1:8" ht="25.5">
      <c r="A407" s="1718" t="s">
        <v>61</v>
      </c>
      <c r="B407" s="1719" t="s">
        <v>97</v>
      </c>
      <c r="C407" s="1720" t="s">
        <v>98</v>
      </c>
      <c r="D407" s="2072" t="s">
        <v>62</v>
      </c>
      <c r="E407" s="2072"/>
      <c r="F407" s="1721" t="s">
        <v>99</v>
      </c>
    </row>
    <row r="408" spans="1:8" ht="25.5">
      <c r="A408" s="222">
        <v>44383</v>
      </c>
      <c r="B408" s="204" t="s">
        <v>1231</v>
      </c>
      <c r="C408" s="202">
        <v>4800</v>
      </c>
      <c r="D408" s="2061" t="s">
        <v>2288</v>
      </c>
      <c r="E408" s="2062"/>
      <c r="F408" s="148" t="s">
        <v>1232</v>
      </c>
      <c r="H408" s="1580" t="s">
        <v>2297</v>
      </c>
    </row>
    <row r="409" spans="1:8" ht="25.5">
      <c r="A409" s="222">
        <v>44389</v>
      </c>
      <c r="B409" s="204" t="s">
        <v>2289</v>
      </c>
      <c r="C409" s="202">
        <v>9130.7199999999993</v>
      </c>
      <c r="D409" s="2061" t="s">
        <v>2290</v>
      </c>
      <c r="E409" s="2062"/>
      <c r="F409" s="148" t="s">
        <v>2291</v>
      </c>
      <c r="H409" s="1581" t="s">
        <v>2298</v>
      </c>
    </row>
    <row r="410" spans="1:8" ht="25.5">
      <c r="A410" s="222">
        <v>44396</v>
      </c>
      <c r="B410" s="204" t="s">
        <v>2292</v>
      </c>
      <c r="C410" s="202">
        <v>12115</v>
      </c>
      <c r="D410" s="2061" t="s">
        <v>2293</v>
      </c>
      <c r="E410" s="2062"/>
      <c r="F410" s="148" t="s">
        <v>2294</v>
      </c>
      <c r="H410" s="765"/>
    </row>
    <row r="411" spans="1:8" ht="15.75" thickBot="1">
      <c r="A411" s="1582"/>
      <c r="B411" s="1583" t="s">
        <v>63</v>
      </c>
      <c r="C411" s="1584">
        <f>MEDIAN(C408:C410)</f>
        <v>9130.7199999999993</v>
      </c>
      <c r="D411" s="2073"/>
      <c r="E411" s="2074"/>
      <c r="F411" s="1585"/>
    </row>
    <row r="412" spans="1:8" ht="15.75" thickBot="1">
      <c r="A412" s="1586"/>
      <c r="B412" s="1661" t="s">
        <v>2295</v>
      </c>
      <c r="C412" s="2131" t="s">
        <v>2296</v>
      </c>
      <c r="D412" s="2131"/>
      <c r="E412" s="2131"/>
      <c r="F412" s="1587" t="s">
        <v>2299</v>
      </c>
    </row>
    <row r="413" spans="1:8" ht="15.75" thickBot="1"/>
    <row r="414" spans="1:8" ht="25.5">
      <c r="A414" s="419" t="s">
        <v>1233</v>
      </c>
      <c r="B414" s="417" t="s">
        <v>1234</v>
      </c>
      <c r="C414" s="782" t="s">
        <v>49</v>
      </c>
      <c r="D414" s="783"/>
      <c r="E414" s="784"/>
      <c r="F414" s="785"/>
    </row>
    <row r="415" spans="1:8">
      <c r="A415" s="2054" t="s">
        <v>1235</v>
      </c>
      <c r="B415" s="2055"/>
      <c r="C415" s="2055"/>
      <c r="D415" s="2055"/>
      <c r="E415" s="2055"/>
      <c r="F415" s="2056"/>
    </row>
    <row r="416" spans="1:8" ht="30">
      <c r="A416" s="1015"/>
      <c r="B416" s="1024" t="s">
        <v>58</v>
      </c>
      <c r="C416" s="94" t="s">
        <v>51</v>
      </c>
      <c r="D416" s="95" t="s">
        <v>52</v>
      </c>
      <c r="E416" s="258" t="s">
        <v>64</v>
      </c>
      <c r="F416" s="1016" t="s">
        <v>54</v>
      </c>
    </row>
    <row r="417" spans="1:6">
      <c r="A417" s="1017">
        <v>88316</v>
      </c>
      <c r="B417" s="1025" t="s">
        <v>68</v>
      </c>
      <c r="C417" s="99" t="s">
        <v>59</v>
      </c>
      <c r="D417" s="225">
        <v>2.5</v>
      </c>
      <c r="E417" s="223">
        <v>15.65</v>
      </c>
      <c r="F417" s="1018">
        <f>TRUNC((D417*E417),2)</f>
        <v>39.119999999999997</v>
      </c>
    </row>
    <row r="418" spans="1:6">
      <c r="A418" s="1711"/>
      <c r="B418" s="1020"/>
      <c r="C418" s="32" t="s">
        <v>43</v>
      </c>
      <c r="D418" s="100" t="s">
        <v>43</v>
      </c>
      <c r="E418" s="295" t="s">
        <v>60</v>
      </c>
      <c r="F418" s="1021">
        <f>SUM(F417:F417)</f>
        <v>39.119999999999997</v>
      </c>
    </row>
    <row r="419" spans="1:6" ht="30">
      <c r="A419" s="1711"/>
      <c r="B419" s="1024" t="s">
        <v>95</v>
      </c>
      <c r="C419" s="94" t="s">
        <v>51</v>
      </c>
      <c r="D419" s="95" t="s">
        <v>52</v>
      </c>
      <c r="E419" s="258" t="s">
        <v>64</v>
      </c>
      <c r="F419" s="1016" t="s">
        <v>54</v>
      </c>
    </row>
    <row r="420" spans="1:6">
      <c r="A420" s="361">
        <v>7253</v>
      </c>
      <c r="B420" s="204" t="s">
        <v>1236</v>
      </c>
      <c r="C420" s="99" t="s">
        <v>49</v>
      </c>
      <c r="D420" s="390">
        <v>1</v>
      </c>
      <c r="E420" s="223">
        <v>107.14</v>
      </c>
      <c r="F420" s="1018">
        <f>TRUNC((D420*E420),2)</f>
        <v>107.14</v>
      </c>
    </row>
    <row r="421" spans="1:6">
      <c r="A421" s="145"/>
      <c r="B421" s="191"/>
      <c r="C421" s="152"/>
      <c r="D421" s="192"/>
      <c r="E421" s="295" t="s">
        <v>60</v>
      </c>
      <c r="F421" s="403">
        <f>SUM(F420:F420)</f>
        <v>107.14</v>
      </c>
    </row>
    <row r="422" spans="1:6" ht="15.75" thickBot="1">
      <c r="A422" s="104"/>
      <c r="B422" s="2057" t="s">
        <v>55</v>
      </c>
      <c r="C422" s="2058"/>
      <c r="D422" s="2058"/>
      <c r="E422" s="2059"/>
      <c r="F422" s="1624">
        <f>F418+F421</f>
        <v>146.26</v>
      </c>
    </row>
    <row r="423" spans="1:6" ht="15.75" thickBot="1"/>
    <row r="424" spans="1:6" ht="25.5">
      <c r="A424" s="419" t="s">
        <v>1240</v>
      </c>
      <c r="B424" s="417" t="s">
        <v>1241</v>
      </c>
      <c r="C424" s="782" t="s">
        <v>48</v>
      </c>
      <c r="D424" s="783"/>
      <c r="E424" s="784"/>
      <c r="F424" s="785"/>
    </row>
    <row r="425" spans="1:6">
      <c r="A425" s="2054" t="s">
        <v>1245</v>
      </c>
      <c r="B425" s="2055"/>
      <c r="C425" s="2055"/>
      <c r="D425" s="2055"/>
      <c r="E425" s="2055"/>
      <c r="F425" s="2056"/>
    </row>
    <row r="426" spans="1:6" ht="30">
      <c r="A426" s="1015"/>
      <c r="B426" s="1024" t="s">
        <v>58</v>
      </c>
      <c r="C426" s="94" t="s">
        <v>51</v>
      </c>
      <c r="D426" s="95" t="s">
        <v>52</v>
      </c>
      <c r="E426" s="258" t="s">
        <v>64</v>
      </c>
      <c r="F426" s="1016" t="s">
        <v>54</v>
      </c>
    </row>
    <row r="427" spans="1:6" ht="25.5">
      <c r="A427" s="388">
        <v>88256</v>
      </c>
      <c r="B427" s="1717" t="s">
        <v>1045</v>
      </c>
      <c r="C427" s="99" t="s">
        <v>59</v>
      </c>
      <c r="D427" s="225">
        <v>1.7</v>
      </c>
      <c r="E427" s="223">
        <v>19.79</v>
      </c>
      <c r="F427" s="1018">
        <f>TRUNC((D427*E427),2)</f>
        <v>33.64</v>
      </c>
    </row>
    <row r="428" spans="1:6">
      <c r="A428" s="388">
        <v>88309</v>
      </c>
      <c r="B428" s="1717" t="s">
        <v>104</v>
      </c>
      <c r="C428" s="99" t="s">
        <v>59</v>
      </c>
      <c r="D428" s="225">
        <v>0.6</v>
      </c>
      <c r="E428" s="223">
        <v>19.86</v>
      </c>
      <c r="F428" s="1018">
        <f t="shared" ref="F428:F429" si="3">TRUNC((D428*E428),2)</f>
        <v>11.91</v>
      </c>
    </row>
    <row r="429" spans="1:6">
      <c r="A429" s="1017">
        <v>88316</v>
      </c>
      <c r="B429" s="1025" t="s">
        <v>68</v>
      </c>
      <c r="C429" s="99" t="s">
        <v>59</v>
      </c>
      <c r="D429" s="225">
        <v>1.8</v>
      </c>
      <c r="E429" s="223">
        <v>15.65</v>
      </c>
      <c r="F429" s="1018">
        <f t="shared" si="3"/>
        <v>28.17</v>
      </c>
    </row>
    <row r="430" spans="1:6">
      <c r="A430" s="1711"/>
      <c r="B430" s="1020"/>
      <c r="C430" s="1754" t="s">
        <v>43</v>
      </c>
      <c r="D430" s="1755" t="s">
        <v>43</v>
      </c>
      <c r="E430" s="1611" t="s">
        <v>60</v>
      </c>
      <c r="F430" s="1021">
        <f>SUM(F427:F429)</f>
        <v>73.72</v>
      </c>
    </row>
    <row r="431" spans="1:6" ht="30">
      <c r="A431" s="97"/>
      <c r="B431" s="93" t="s">
        <v>95</v>
      </c>
      <c r="C431" s="94" t="s">
        <v>51</v>
      </c>
      <c r="D431" s="95" t="s">
        <v>52</v>
      </c>
      <c r="E431" s="107" t="s">
        <v>64</v>
      </c>
      <c r="F431" s="96" t="s">
        <v>54</v>
      </c>
    </row>
    <row r="432" spans="1:6" ht="25.5">
      <c r="A432" s="361">
        <v>370</v>
      </c>
      <c r="B432" s="204" t="s">
        <v>355</v>
      </c>
      <c r="C432" s="99" t="s">
        <v>49</v>
      </c>
      <c r="D432" s="531">
        <v>2.1000000000000001E-2</v>
      </c>
      <c r="E432" s="223">
        <v>74.17</v>
      </c>
      <c r="F432" s="1018">
        <f>TRUNC((D432*E432),2)</f>
        <v>1.55</v>
      </c>
    </row>
    <row r="433" spans="1:6">
      <c r="A433" s="361">
        <v>1106</v>
      </c>
      <c r="B433" s="204" t="s">
        <v>503</v>
      </c>
      <c r="C433" s="99" t="s">
        <v>101</v>
      </c>
      <c r="D433" s="531">
        <v>4.6399999999999997</v>
      </c>
      <c r="E433" s="223">
        <v>0.75</v>
      </c>
      <c r="F433" s="1018">
        <f t="shared" ref="F433:F436" si="4">TRUNC((D433*E433),2)</f>
        <v>3.48</v>
      </c>
    </row>
    <row r="434" spans="1:6">
      <c r="A434" s="361">
        <v>34361</v>
      </c>
      <c r="B434" s="204" t="s">
        <v>1243</v>
      </c>
      <c r="C434" s="99" t="s">
        <v>101</v>
      </c>
      <c r="D434" s="531">
        <v>1.34</v>
      </c>
      <c r="E434" s="223">
        <v>12.73</v>
      </c>
      <c r="F434" s="1018">
        <f t="shared" si="4"/>
        <v>17.05</v>
      </c>
    </row>
    <row r="435" spans="1:6">
      <c r="A435" s="361">
        <v>13284</v>
      </c>
      <c r="B435" s="204" t="s">
        <v>1575</v>
      </c>
      <c r="C435" s="99" t="s">
        <v>101</v>
      </c>
      <c r="D435" s="390">
        <v>2.2200000000000002</v>
      </c>
      <c r="E435" s="223">
        <v>0.64</v>
      </c>
      <c r="F435" s="1018">
        <f t="shared" si="4"/>
        <v>1.42</v>
      </c>
    </row>
    <row r="436" spans="1:6">
      <c r="A436" s="361">
        <v>1380</v>
      </c>
      <c r="B436" s="204" t="s">
        <v>1244</v>
      </c>
      <c r="C436" s="99" t="s">
        <v>101</v>
      </c>
      <c r="D436" s="390">
        <v>2.5</v>
      </c>
      <c r="E436" s="223">
        <v>2.0099999999999998</v>
      </c>
      <c r="F436" s="1018">
        <f t="shared" si="4"/>
        <v>5.0199999999999996</v>
      </c>
    </row>
    <row r="437" spans="1:6" ht="38.25">
      <c r="A437" s="361">
        <v>11795</v>
      </c>
      <c r="B437" s="204" t="s">
        <v>1242</v>
      </c>
      <c r="C437" s="99" t="s">
        <v>48</v>
      </c>
      <c r="D437" s="390">
        <v>1.05</v>
      </c>
      <c r="E437" s="223">
        <v>422.64</v>
      </c>
      <c r="F437" s="1018">
        <f t="shared" ref="F437" si="5">TRUNC((D437*E437),2)</f>
        <v>443.77</v>
      </c>
    </row>
    <row r="438" spans="1:6" ht="15.75" thickBot="1">
      <c r="A438" s="206"/>
      <c r="B438" s="1756"/>
      <c r="C438" s="130"/>
      <c r="D438" s="1757"/>
      <c r="E438" s="1649" t="s">
        <v>60</v>
      </c>
      <c r="F438" s="1758">
        <f>SUM(F432:F437)</f>
        <v>472.28999999999996</v>
      </c>
    </row>
    <row r="439" spans="1:6" ht="15.75" thickBot="1">
      <c r="A439" s="104"/>
      <c r="B439" s="2102" t="s">
        <v>55</v>
      </c>
      <c r="C439" s="2059"/>
      <c r="D439" s="2059"/>
      <c r="E439" s="2059"/>
      <c r="F439" s="1624">
        <f>F430+F438</f>
        <v>546.01</v>
      </c>
    </row>
    <row r="440" spans="1:6" ht="15.75" thickBot="1"/>
    <row r="441" spans="1:6" ht="28.5" customHeight="1">
      <c r="A441" s="158" t="s">
        <v>1572</v>
      </c>
      <c r="B441" s="348" t="s">
        <v>1573</v>
      </c>
      <c r="C441" s="159" t="s">
        <v>48</v>
      </c>
      <c r="D441" s="160"/>
      <c r="E441" s="161"/>
      <c r="F441" s="240"/>
    </row>
    <row r="442" spans="1:6">
      <c r="A442" s="2081" t="s">
        <v>1574</v>
      </c>
      <c r="B442" s="2082"/>
      <c r="C442" s="2082"/>
      <c r="D442" s="2082"/>
      <c r="E442" s="2082"/>
      <c r="F442" s="2083"/>
    </row>
    <row r="443" spans="1:6" ht="30">
      <c r="A443" s="1015"/>
      <c r="B443" s="1024" t="s">
        <v>58</v>
      </c>
      <c r="C443" s="94" t="s">
        <v>51</v>
      </c>
      <c r="D443" s="95" t="s">
        <v>52</v>
      </c>
      <c r="E443" s="107" t="s">
        <v>64</v>
      </c>
      <c r="F443" s="1016" t="s">
        <v>54</v>
      </c>
    </row>
    <row r="444" spans="1:6">
      <c r="A444" s="1017">
        <v>88316</v>
      </c>
      <c r="B444" s="1025" t="s">
        <v>68</v>
      </c>
      <c r="C444" s="99" t="s">
        <v>59</v>
      </c>
      <c r="D444" s="226">
        <v>3.3330000000000002</v>
      </c>
      <c r="E444" s="223">
        <v>15.65</v>
      </c>
      <c r="F444" s="1018">
        <f>TRUNC((D444*E444),2)</f>
        <v>52.16</v>
      </c>
    </row>
    <row r="445" spans="1:6">
      <c r="A445" s="388">
        <v>88309</v>
      </c>
      <c r="B445" s="1717" t="s">
        <v>104</v>
      </c>
      <c r="C445" s="99" t="s">
        <v>59</v>
      </c>
      <c r="D445" s="226">
        <v>3.3330000000000002</v>
      </c>
      <c r="E445" s="202">
        <v>19.86</v>
      </c>
      <c r="F445" s="1018">
        <f>TRUNC((D445*E445),2)</f>
        <v>66.19</v>
      </c>
    </row>
    <row r="446" spans="1:6">
      <c r="A446" s="1019"/>
      <c r="B446" s="1020"/>
      <c r="C446" s="32" t="s">
        <v>43</v>
      </c>
      <c r="D446" s="100" t="s">
        <v>43</v>
      </c>
      <c r="E446" s="295" t="s">
        <v>60</v>
      </c>
      <c r="F446" s="1021">
        <f>SUM(F444:F445)</f>
        <v>118.35</v>
      </c>
    </row>
    <row r="447" spans="1:6" ht="30">
      <c r="A447" s="388"/>
      <c r="B447" s="93" t="s">
        <v>95</v>
      </c>
      <c r="C447" s="94" t="s">
        <v>51</v>
      </c>
      <c r="D447" s="95" t="s">
        <v>52</v>
      </c>
      <c r="E447" s="107" t="s">
        <v>64</v>
      </c>
      <c r="F447" s="96" t="s">
        <v>54</v>
      </c>
    </row>
    <row r="448" spans="1:6" ht="38.25">
      <c r="A448" s="1022">
        <v>11795</v>
      </c>
      <c r="B448" s="398" t="s">
        <v>538</v>
      </c>
      <c r="C448" s="1026" t="s">
        <v>48</v>
      </c>
      <c r="D448" s="226">
        <v>1</v>
      </c>
      <c r="E448" s="223">
        <v>422.64</v>
      </c>
      <c r="F448" s="1018">
        <f>TRUNC((D448*E448),2)</f>
        <v>422.64</v>
      </c>
    </row>
    <row r="449" spans="1:8" ht="25.5">
      <c r="A449" s="361">
        <v>370</v>
      </c>
      <c r="B449" s="204" t="s">
        <v>355</v>
      </c>
      <c r="C449" s="99" t="s">
        <v>49</v>
      </c>
      <c r="D449" s="226">
        <v>8.6999999999999994E-3</v>
      </c>
      <c r="E449" s="223">
        <v>74.17</v>
      </c>
      <c r="F449" s="1018">
        <f>TRUNC((D449*E449),2)</f>
        <v>0.64</v>
      </c>
    </row>
    <row r="450" spans="1:8">
      <c r="A450" s="361">
        <v>13284</v>
      </c>
      <c r="B450" s="204" t="s">
        <v>1575</v>
      </c>
      <c r="C450" s="99" t="s">
        <v>101</v>
      </c>
      <c r="D450" s="226">
        <v>1.54E-2</v>
      </c>
      <c r="E450" s="223">
        <v>0.64</v>
      </c>
      <c r="F450" s="1018">
        <f>ROUNDUP((D450*E450),2)</f>
        <v>0.01</v>
      </c>
    </row>
    <row r="451" spans="1:8" ht="15.75" thickBot="1">
      <c r="A451" s="206"/>
      <c r="B451" s="197"/>
      <c r="C451" s="198"/>
      <c r="D451" s="227"/>
      <c r="E451" s="228" t="s">
        <v>60</v>
      </c>
      <c r="F451" s="532">
        <f>SUM(F448:F450)</f>
        <v>423.28999999999996</v>
      </c>
    </row>
    <row r="452" spans="1:8" ht="15.75" thickBot="1">
      <c r="A452" s="189"/>
      <c r="B452" s="2075" t="s">
        <v>55</v>
      </c>
      <c r="C452" s="2075"/>
      <c r="D452" s="2075"/>
      <c r="E452" s="2075"/>
      <c r="F452" s="533">
        <f>F446+F451</f>
        <v>541.64</v>
      </c>
    </row>
    <row r="453" spans="1:8" ht="15.75" thickBot="1">
      <c r="A453" s="890"/>
      <c r="B453" s="732"/>
      <c r="C453" s="296"/>
      <c r="D453" s="940"/>
      <c r="E453" s="927"/>
      <c r="F453" s="941"/>
    </row>
    <row r="454" spans="1:8" ht="25.5">
      <c r="A454" s="158" t="s">
        <v>1578</v>
      </c>
      <c r="B454" s="348" t="s">
        <v>1223</v>
      </c>
      <c r="C454" s="159" t="s">
        <v>56</v>
      </c>
      <c r="D454" s="160"/>
      <c r="E454" s="161"/>
      <c r="F454" s="240"/>
      <c r="G454" s="61"/>
      <c r="H454" s="61"/>
    </row>
    <row r="455" spans="1:8">
      <c r="A455" s="2081" t="s">
        <v>540</v>
      </c>
      <c r="B455" s="2082"/>
      <c r="C455" s="2082"/>
      <c r="D455" s="2082"/>
      <c r="E455" s="2082"/>
      <c r="F455" s="2083"/>
      <c r="G455" s="61"/>
      <c r="H455" s="61"/>
    </row>
    <row r="456" spans="1:8" ht="30">
      <c r="A456" s="1015"/>
      <c r="B456" s="1748" t="s">
        <v>58</v>
      </c>
      <c r="C456" s="94" t="s">
        <v>51</v>
      </c>
      <c r="D456" s="95" t="s">
        <v>52</v>
      </c>
      <c r="E456" s="107" t="s">
        <v>64</v>
      </c>
      <c r="F456" s="1016" t="s">
        <v>54</v>
      </c>
      <c r="G456" s="61"/>
      <c r="H456" s="61"/>
    </row>
    <row r="457" spans="1:8">
      <c r="A457" s="1017">
        <v>88316</v>
      </c>
      <c r="B457" s="1717" t="s">
        <v>68</v>
      </c>
      <c r="C457" s="99" t="s">
        <v>59</v>
      </c>
      <c r="D457" s="223">
        <v>0.2</v>
      </c>
      <c r="E457" s="223">
        <v>15.65</v>
      </c>
      <c r="F457" s="1018">
        <f>TRUNC((D457*E457),2)</f>
        <v>3.13</v>
      </c>
      <c r="G457" s="61"/>
      <c r="H457" s="61"/>
    </row>
    <row r="458" spans="1:8">
      <c r="A458" s="145">
        <v>88309</v>
      </c>
      <c r="B458" s="103" t="s">
        <v>104</v>
      </c>
      <c r="C458" s="99" t="s">
        <v>59</v>
      </c>
      <c r="D458" s="223">
        <v>0.2</v>
      </c>
      <c r="E458" s="202">
        <v>19.86</v>
      </c>
      <c r="F458" s="1018">
        <f>TRUNC((D458*E458),2)</f>
        <v>3.97</v>
      </c>
      <c r="G458" s="61"/>
      <c r="H458" s="61"/>
    </row>
    <row r="459" spans="1:8">
      <c r="A459" s="1019"/>
      <c r="B459" s="1020"/>
      <c r="C459" s="32" t="s">
        <v>43</v>
      </c>
      <c r="D459" s="100" t="s">
        <v>43</v>
      </c>
      <c r="E459" s="295" t="s">
        <v>60</v>
      </c>
      <c r="F459" s="1021">
        <f>SUM(F457:F458)</f>
        <v>7.1</v>
      </c>
      <c r="G459" s="61"/>
      <c r="H459" s="61"/>
    </row>
    <row r="460" spans="1:8" ht="30">
      <c r="A460" s="388"/>
      <c r="B460" s="942" t="s">
        <v>95</v>
      </c>
      <c r="C460" s="94" t="s">
        <v>51</v>
      </c>
      <c r="D460" s="95" t="s">
        <v>52</v>
      </c>
      <c r="E460" s="107" t="s">
        <v>64</v>
      </c>
      <c r="F460" s="96" t="s">
        <v>54</v>
      </c>
      <c r="G460" s="61"/>
      <c r="H460" s="61"/>
    </row>
    <row r="461" spans="1:8">
      <c r="A461" s="1022">
        <v>37329</v>
      </c>
      <c r="B461" s="516" t="s">
        <v>539</v>
      </c>
      <c r="C461" s="99" t="s">
        <v>49</v>
      </c>
      <c r="D461" s="226">
        <v>0.1</v>
      </c>
      <c r="E461" s="223">
        <v>57.59</v>
      </c>
      <c r="F461" s="1018">
        <f>TRUNC((D461*E461),2)</f>
        <v>5.75</v>
      </c>
      <c r="G461" s="61"/>
      <c r="H461" s="61"/>
    </row>
    <row r="462" spans="1:8" ht="15.75" thickBot="1">
      <c r="A462" s="1705">
        <v>37595</v>
      </c>
      <c r="B462" s="1706" t="s">
        <v>541</v>
      </c>
      <c r="C462" s="1597" t="s">
        <v>101</v>
      </c>
      <c r="D462" s="1749">
        <v>0.5</v>
      </c>
      <c r="E462" s="1675">
        <v>1.99</v>
      </c>
      <c r="F462" s="1750">
        <f>TRUNC((D462*E462),2)</f>
        <v>0.99</v>
      </c>
      <c r="G462" s="61"/>
      <c r="H462" s="61"/>
    </row>
    <row r="463" spans="1:8" ht="38.25">
      <c r="A463" s="1751">
        <v>20231</v>
      </c>
      <c r="B463" s="1752" t="s">
        <v>542</v>
      </c>
      <c r="C463" s="1599" t="s">
        <v>56</v>
      </c>
      <c r="D463" s="1600">
        <v>1</v>
      </c>
      <c r="E463" s="1690">
        <v>53.58</v>
      </c>
      <c r="F463" s="1740">
        <f>TRUNC((D463*E463),2)</f>
        <v>53.58</v>
      </c>
      <c r="G463" s="61"/>
      <c r="H463" s="61"/>
    </row>
    <row r="464" spans="1:8" ht="15.75" thickBot="1">
      <c r="A464" s="206"/>
      <c r="B464" s="197"/>
      <c r="C464" s="198"/>
      <c r="D464" s="227"/>
      <c r="E464" s="228" t="s">
        <v>60</v>
      </c>
      <c r="F464" s="532">
        <f>SUM(F461:F463)</f>
        <v>60.32</v>
      </c>
      <c r="G464" s="61"/>
      <c r="H464" s="61"/>
    </row>
    <row r="465" spans="1:8" ht="15.75" thickBot="1">
      <c r="A465" s="189"/>
      <c r="B465" s="2075" t="s">
        <v>55</v>
      </c>
      <c r="C465" s="2075"/>
      <c r="D465" s="2075"/>
      <c r="E465" s="2075"/>
      <c r="F465" s="533">
        <f>F459+F464</f>
        <v>67.42</v>
      </c>
      <c r="G465" s="61"/>
      <c r="H465" s="61"/>
    </row>
    <row r="466" spans="1:8" ht="15.75" thickBot="1">
      <c r="A466" s="536"/>
      <c r="B466" s="537"/>
      <c r="C466" s="538"/>
      <c r="D466" s="407"/>
      <c r="E466" s="407"/>
      <c r="F466" s="539"/>
      <c r="G466" s="61"/>
      <c r="H466" s="61"/>
    </row>
    <row r="467" spans="1:8" ht="25.5">
      <c r="A467" s="158" t="s">
        <v>1579</v>
      </c>
      <c r="B467" s="348" t="s">
        <v>1582</v>
      </c>
      <c r="C467" s="159" t="s">
        <v>48</v>
      </c>
      <c r="D467" s="160"/>
      <c r="E467" s="161"/>
      <c r="F467" s="240"/>
      <c r="G467" s="61"/>
      <c r="H467" s="61"/>
    </row>
    <row r="468" spans="1:8" ht="15" customHeight="1" thickBot="1">
      <c r="A468" s="2088" t="s">
        <v>1583</v>
      </c>
      <c r="B468" s="2089"/>
      <c r="C468" s="2089"/>
      <c r="D468" s="2089"/>
      <c r="E468" s="2089"/>
      <c r="F468" s="2090"/>
      <c r="G468" s="61"/>
      <c r="H468" s="61"/>
    </row>
    <row r="469" spans="1:8" ht="30">
      <c r="A469" s="1743"/>
      <c r="B469" s="1753" t="s">
        <v>58</v>
      </c>
      <c r="C469" s="1745" t="s">
        <v>51</v>
      </c>
      <c r="D469" s="1746" t="s">
        <v>52</v>
      </c>
      <c r="E469" s="1719" t="s">
        <v>64</v>
      </c>
      <c r="F469" s="1747" t="s">
        <v>54</v>
      </c>
      <c r="G469" s="61"/>
      <c r="H469" s="61"/>
    </row>
    <row r="470" spans="1:8">
      <c r="A470" s="1017">
        <v>88316</v>
      </c>
      <c r="B470" s="1717" t="s">
        <v>68</v>
      </c>
      <c r="C470" s="99" t="s">
        <v>59</v>
      </c>
      <c r="D470" s="223">
        <v>2</v>
      </c>
      <c r="E470" s="223">
        <v>15.65</v>
      </c>
      <c r="F470" s="1018">
        <f>TRUNC((D470*E470),2)</f>
        <v>31.3</v>
      </c>
      <c r="G470" s="61"/>
      <c r="H470" s="61"/>
    </row>
    <row r="471" spans="1:8">
      <c r="A471" s="145">
        <v>88309</v>
      </c>
      <c r="B471" s="103" t="s">
        <v>104</v>
      </c>
      <c r="C471" s="99" t="s">
        <v>59</v>
      </c>
      <c r="D471" s="223">
        <v>2</v>
      </c>
      <c r="E471" s="202">
        <v>19.86</v>
      </c>
      <c r="F471" s="1018">
        <f>TRUNC((D471*E471),2)</f>
        <v>39.72</v>
      </c>
      <c r="G471" s="61"/>
      <c r="H471" s="61"/>
    </row>
    <row r="472" spans="1:8">
      <c r="A472" s="1019"/>
      <c r="B472" s="1020"/>
      <c r="C472" s="32" t="s">
        <v>43</v>
      </c>
      <c r="D472" s="100" t="s">
        <v>43</v>
      </c>
      <c r="E472" s="295" t="s">
        <v>60</v>
      </c>
      <c r="F472" s="1021">
        <f>SUM(F470:F471)</f>
        <v>71.02</v>
      </c>
      <c r="G472" s="61"/>
      <c r="H472" s="61"/>
    </row>
    <row r="473" spans="1:8" ht="30">
      <c r="A473" s="388"/>
      <c r="B473" s="942" t="s">
        <v>95</v>
      </c>
      <c r="C473" s="94" t="s">
        <v>51</v>
      </c>
      <c r="D473" s="95" t="s">
        <v>52</v>
      </c>
      <c r="E473" s="107" t="s">
        <v>64</v>
      </c>
      <c r="F473" s="96" t="s">
        <v>54</v>
      </c>
      <c r="G473" s="61"/>
      <c r="H473" s="61"/>
    </row>
    <row r="474" spans="1:8" ht="38.25">
      <c r="A474" s="1022">
        <v>102486</v>
      </c>
      <c r="B474" s="204" t="s">
        <v>1584</v>
      </c>
      <c r="C474" s="99" t="s">
        <v>49</v>
      </c>
      <c r="D474" s="226">
        <v>7.0000000000000007E-2</v>
      </c>
      <c r="E474" s="223">
        <v>401.58</v>
      </c>
      <c r="F474" s="1018">
        <f>TRUNC((D474*E474),2)</f>
        <v>28.11</v>
      </c>
      <c r="G474" s="61"/>
      <c r="H474" s="61"/>
    </row>
    <row r="475" spans="1:8" ht="25.5">
      <c r="A475" s="1022">
        <v>92873</v>
      </c>
      <c r="B475" s="204" t="s">
        <v>1585</v>
      </c>
      <c r="C475" s="99" t="s">
        <v>49</v>
      </c>
      <c r="D475" s="226">
        <v>7.0000000000000007E-2</v>
      </c>
      <c r="E475" s="223">
        <v>161.28</v>
      </c>
      <c r="F475" s="1018">
        <f t="shared" ref="F475:F477" si="6">TRUNC((D475*E475),2)</f>
        <v>11.28</v>
      </c>
      <c r="G475" s="61"/>
      <c r="H475" s="61"/>
    </row>
    <row r="476" spans="1:8" ht="38.25">
      <c r="A476" s="1022">
        <v>96536</v>
      </c>
      <c r="B476" s="204" t="s">
        <v>368</v>
      </c>
      <c r="C476" s="1026" t="s">
        <v>48</v>
      </c>
      <c r="D476" s="226">
        <v>1.67</v>
      </c>
      <c r="E476" s="223">
        <v>50.71</v>
      </c>
      <c r="F476" s="1018">
        <f t="shared" si="6"/>
        <v>84.68</v>
      </c>
      <c r="G476" s="61"/>
      <c r="H476" s="61"/>
    </row>
    <row r="477" spans="1:8" ht="38.25">
      <c r="A477" s="1022">
        <v>92794</v>
      </c>
      <c r="B477" s="204" t="s">
        <v>768</v>
      </c>
      <c r="C477" s="99" t="s">
        <v>101</v>
      </c>
      <c r="D477" s="226">
        <v>4.4000000000000004</v>
      </c>
      <c r="E477" s="223">
        <v>14.35</v>
      </c>
      <c r="F477" s="1018">
        <f t="shared" si="6"/>
        <v>63.14</v>
      </c>
      <c r="G477" s="61"/>
      <c r="H477" s="61"/>
    </row>
    <row r="478" spans="1:8">
      <c r="A478" s="1224">
        <v>345</v>
      </c>
      <c r="B478" s="204" t="s">
        <v>1586</v>
      </c>
      <c r="C478" s="99" t="s">
        <v>101</v>
      </c>
      <c r="D478" s="226">
        <v>0.1</v>
      </c>
      <c r="E478" s="223">
        <v>28.51</v>
      </c>
      <c r="F478" s="1018">
        <f>TRUNC((D478*E478),2)</f>
        <v>2.85</v>
      </c>
      <c r="G478" s="61"/>
      <c r="H478" s="61"/>
    </row>
    <row r="479" spans="1:8" ht="15.75" thickBot="1">
      <c r="A479" s="206"/>
      <c r="B479" s="197"/>
      <c r="C479" s="198"/>
      <c r="D479" s="227"/>
      <c r="E479" s="228" t="s">
        <v>60</v>
      </c>
      <c r="F479" s="532">
        <f>SUM(F474:F478)</f>
        <v>190.06</v>
      </c>
      <c r="G479" s="61"/>
      <c r="H479" s="61"/>
    </row>
    <row r="480" spans="1:8" ht="15.75" thickBot="1">
      <c r="A480" s="189"/>
      <c r="B480" s="2075" t="s">
        <v>55</v>
      </c>
      <c r="C480" s="2075"/>
      <c r="D480" s="2075"/>
      <c r="E480" s="2075"/>
      <c r="F480" s="533">
        <f>F472+F479</f>
        <v>261.08</v>
      </c>
      <c r="G480" s="61"/>
      <c r="H480" s="61"/>
    </row>
    <row r="481" spans="1:8" ht="15.75" thickBot="1">
      <c r="A481" s="536"/>
      <c r="B481" s="537"/>
      <c r="C481" s="538"/>
      <c r="D481" s="407"/>
      <c r="E481" s="407"/>
      <c r="F481" s="539"/>
      <c r="G481" s="61"/>
      <c r="H481" s="61"/>
    </row>
    <row r="482" spans="1:8" ht="15.75" customHeight="1">
      <c r="A482" s="158" t="s">
        <v>1608</v>
      </c>
      <c r="B482" s="348" t="s">
        <v>1612</v>
      </c>
      <c r="C482" s="159" t="s">
        <v>48</v>
      </c>
      <c r="D482" s="160"/>
      <c r="E482" s="161"/>
      <c r="F482" s="240"/>
      <c r="G482" s="61"/>
      <c r="H482" s="61"/>
    </row>
    <row r="483" spans="1:8">
      <c r="A483" s="2081" t="s">
        <v>1611</v>
      </c>
      <c r="B483" s="2082"/>
      <c r="C483" s="2082"/>
      <c r="D483" s="2082"/>
      <c r="E483" s="2082"/>
      <c r="F483" s="2083"/>
      <c r="G483" s="61"/>
      <c r="H483" s="61"/>
    </row>
    <row r="484" spans="1:8" ht="30">
      <c r="A484" s="1015"/>
      <c r="B484" s="1748" t="s">
        <v>58</v>
      </c>
      <c r="C484" s="94" t="s">
        <v>51</v>
      </c>
      <c r="D484" s="95" t="s">
        <v>52</v>
      </c>
      <c r="E484" s="107" t="s">
        <v>64</v>
      </c>
      <c r="F484" s="1016" t="s">
        <v>54</v>
      </c>
      <c r="G484" s="61"/>
      <c r="H484" s="61"/>
    </row>
    <row r="485" spans="1:8">
      <c r="A485" s="145">
        <v>88309</v>
      </c>
      <c r="B485" s="103" t="s">
        <v>104</v>
      </c>
      <c r="C485" s="99" t="s">
        <v>59</v>
      </c>
      <c r="D485" s="225">
        <v>0.113</v>
      </c>
      <c r="E485" s="202">
        <v>19.86</v>
      </c>
      <c r="F485" s="1018">
        <f>TRUNC((D485*E485),2)</f>
        <v>2.2400000000000002</v>
      </c>
      <c r="G485" s="61"/>
      <c r="H485" s="61"/>
    </row>
    <row r="486" spans="1:8">
      <c r="A486" s="1017">
        <v>88316</v>
      </c>
      <c r="B486" s="1717" t="s">
        <v>68</v>
      </c>
      <c r="C486" s="99" t="s">
        <v>59</v>
      </c>
      <c r="D486" s="225">
        <v>3.61E-2</v>
      </c>
      <c r="E486" s="223">
        <v>15.65</v>
      </c>
      <c r="F486" s="1018">
        <f>TRUNC((D486*E486),2)</f>
        <v>0.56000000000000005</v>
      </c>
      <c r="G486" s="61"/>
      <c r="H486" s="61"/>
    </row>
    <row r="487" spans="1:8">
      <c r="A487" s="1019"/>
      <c r="B487" s="1020"/>
      <c r="C487" s="32" t="s">
        <v>43</v>
      </c>
      <c r="D487" s="100" t="s">
        <v>43</v>
      </c>
      <c r="E487" s="295" t="s">
        <v>60</v>
      </c>
      <c r="F487" s="1021">
        <f>SUM(F485:F486)</f>
        <v>2.8000000000000003</v>
      </c>
      <c r="G487" s="61"/>
      <c r="H487" s="61"/>
    </row>
    <row r="488" spans="1:8" ht="30">
      <c r="A488" s="388"/>
      <c r="B488" s="942" t="s">
        <v>95</v>
      </c>
      <c r="C488" s="94" t="s">
        <v>51</v>
      </c>
      <c r="D488" s="95" t="s">
        <v>52</v>
      </c>
      <c r="E488" s="107" t="s">
        <v>64</v>
      </c>
      <c r="F488" s="96" t="s">
        <v>54</v>
      </c>
      <c r="G488" s="61"/>
      <c r="H488" s="61"/>
    </row>
    <row r="489" spans="1:8" ht="25.5">
      <c r="A489" s="1022">
        <v>7334</v>
      </c>
      <c r="B489" s="204" t="s">
        <v>1613</v>
      </c>
      <c r="C489" s="1028" t="s">
        <v>410</v>
      </c>
      <c r="D489" s="226">
        <v>0.2</v>
      </c>
      <c r="E489" s="223">
        <v>13.68</v>
      </c>
      <c r="F489" s="1018">
        <f>TRUNC((D489*E489),2)</f>
        <v>2.73</v>
      </c>
      <c r="G489" s="61"/>
      <c r="H489" s="61"/>
    </row>
    <row r="490" spans="1:8" ht="25.5">
      <c r="A490" s="1022">
        <v>38546</v>
      </c>
      <c r="B490" s="204" t="s">
        <v>1614</v>
      </c>
      <c r="C490" s="1026" t="s">
        <v>49</v>
      </c>
      <c r="D490" s="225">
        <v>3.1199999999999999E-2</v>
      </c>
      <c r="E490" s="223">
        <v>455.55</v>
      </c>
      <c r="F490" s="1018">
        <f>TRUNC((D490*E490),2)</f>
        <v>14.21</v>
      </c>
      <c r="G490" s="61"/>
      <c r="H490" s="61"/>
    </row>
    <row r="491" spans="1:8" ht="15.75" thickBot="1">
      <c r="A491" s="206"/>
      <c r="B491" s="197"/>
      <c r="C491" s="198"/>
      <c r="D491" s="227"/>
      <c r="E491" s="228" t="s">
        <v>60</v>
      </c>
      <c r="F491" s="532">
        <f>SUM(F489:F490)</f>
        <v>16.940000000000001</v>
      </c>
      <c r="G491" s="61"/>
      <c r="H491" s="61"/>
    </row>
    <row r="492" spans="1:8" ht="15.75" thickBot="1">
      <c r="A492" s="189"/>
      <c r="B492" s="2075" t="s">
        <v>55</v>
      </c>
      <c r="C492" s="2075"/>
      <c r="D492" s="2075"/>
      <c r="E492" s="2075"/>
      <c r="F492" s="533">
        <f>F487+F491</f>
        <v>19.740000000000002</v>
      </c>
      <c r="G492" s="61"/>
      <c r="H492" s="61"/>
    </row>
    <row r="493" spans="1:8" ht="15.75" thickBot="1">
      <c r="A493" s="534"/>
      <c r="B493" s="1013"/>
      <c r="C493" s="1013"/>
      <c r="D493" s="1013"/>
      <c r="E493" s="1013"/>
      <c r="F493" s="1014"/>
      <c r="G493" s="61"/>
      <c r="H493" s="61"/>
    </row>
    <row r="494" spans="1:8" ht="53.25" customHeight="1">
      <c r="A494" s="158" t="s">
        <v>1610</v>
      </c>
      <c r="B494" s="348" t="s">
        <v>156</v>
      </c>
      <c r="C494" s="159" t="s">
        <v>48</v>
      </c>
      <c r="D494" s="160"/>
      <c r="E494" s="161"/>
      <c r="F494" s="240"/>
    </row>
    <row r="495" spans="1:8">
      <c r="A495" s="2081" t="s">
        <v>544</v>
      </c>
      <c r="B495" s="2082"/>
      <c r="C495" s="2082"/>
      <c r="D495" s="2082"/>
      <c r="E495" s="2082"/>
      <c r="F495" s="2083"/>
    </row>
    <row r="496" spans="1:8" ht="30">
      <c r="A496" s="1015"/>
      <c r="B496" s="1024" t="s">
        <v>58</v>
      </c>
      <c r="C496" s="94" t="s">
        <v>51</v>
      </c>
      <c r="D496" s="95" t="s">
        <v>52</v>
      </c>
      <c r="E496" s="107" t="s">
        <v>64</v>
      </c>
      <c r="F496" s="1016" t="s">
        <v>54</v>
      </c>
    </row>
    <row r="497" spans="1:9">
      <c r="A497" s="1017">
        <v>88316</v>
      </c>
      <c r="B497" s="1025" t="s">
        <v>68</v>
      </c>
      <c r="C497" s="99" t="s">
        <v>59</v>
      </c>
      <c r="D497" s="226">
        <v>6.2E-2</v>
      </c>
      <c r="E497" s="223">
        <v>15.65</v>
      </c>
      <c r="F497" s="1018">
        <f>TRUNC((D497*E497),2)</f>
        <v>0.97</v>
      </c>
    </row>
    <row r="498" spans="1:9">
      <c r="A498" s="1017">
        <v>88323</v>
      </c>
      <c r="B498" s="398" t="s">
        <v>545</v>
      </c>
      <c r="C498" s="99" t="s">
        <v>59</v>
      </c>
      <c r="D498" s="226">
        <v>5.6000000000000001E-2</v>
      </c>
      <c r="E498" s="202">
        <v>21.12</v>
      </c>
      <c r="F498" s="1018">
        <f>TRUNC((D498*E498),2)</f>
        <v>1.18</v>
      </c>
    </row>
    <row r="499" spans="1:9">
      <c r="A499" s="1019"/>
      <c r="B499" s="1020"/>
      <c r="C499" s="32" t="s">
        <v>43</v>
      </c>
      <c r="D499" s="100" t="s">
        <v>43</v>
      </c>
      <c r="E499" s="295" t="s">
        <v>60</v>
      </c>
      <c r="F499" s="1021">
        <f>SUM(F497:F498)</f>
        <v>2.15</v>
      </c>
    </row>
    <row r="500" spans="1:9" ht="30">
      <c r="A500" s="388"/>
      <c r="B500" s="93" t="s">
        <v>95</v>
      </c>
      <c r="C500" s="94" t="s">
        <v>51</v>
      </c>
      <c r="D500" s="95" t="s">
        <v>52</v>
      </c>
      <c r="E500" s="107" t="s">
        <v>64</v>
      </c>
      <c r="F500" s="96" t="s">
        <v>54</v>
      </c>
    </row>
    <row r="501" spans="1:9" ht="38.25">
      <c r="A501" s="1022">
        <v>11029</v>
      </c>
      <c r="B501" s="398" t="s">
        <v>546</v>
      </c>
      <c r="C501" s="1026" t="s">
        <v>547</v>
      </c>
      <c r="D501" s="226">
        <v>4.1500000000000004</v>
      </c>
      <c r="E501" s="223">
        <v>1.68</v>
      </c>
      <c r="F501" s="1018">
        <f>TRUNC((D501*E501),2)</f>
        <v>6.97</v>
      </c>
    </row>
    <row r="502" spans="1:9" ht="38.25">
      <c r="A502" s="1022">
        <v>93281</v>
      </c>
      <c r="B502" s="398" t="s">
        <v>548</v>
      </c>
      <c r="C502" s="1026" t="s">
        <v>411</v>
      </c>
      <c r="D502" s="225">
        <v>8.9999999999999998E-4</v>
      </c>
      <c r="E502" s="223">
        <v>15.72</v>
      </c>
      <c r="F502" s="1018">
        <f>TRUNC((D502*E502),2)</f>
        <v>0.01</v>
      </c>
    </row>
    <row r="503" spans="1:9" ht="38.25">
      <c r="A503" s="1022">
        <v>93282</v>
      </c>
      <c r="B503" s="398" t="s">
        <v>549</v>
      </c>
      <c r="C503" s="1026" t="s">
        <v>550</v>
      </c>
      <c r="D503" s="225">
        <v>1.1999999999999999E-3</v>
      </c>
      <c r="E503" s="223">
        <v>14.78</v>
      </c>
      <c r="F503" s="1018">
        <f>TRUNC((D503*E503),2)</f>
        <v>0.01</v>
      </c>
    </row>
    <row r="504" spans="1:9" ht="63.75">
      <c r="A504" s="157">
        <v>39520</v>
      </c>
      <c r="B504" s="1027" t="s">
        <v>155</v>
      </c>
      <c r="C504" s="1026" t="s">
        <v>48</v>
      </c>
      <c r="D504" s="226">
        <v>1.1399999999999999</v>
      </c>
      <c r="E504" s="223">
        <v>192.62</v>
      </c>
      <c r="F504" s="1018">
        <f>TRUNC((D504*E504),2)</f>
        <v>219.58</v>
      </c>
      <c r="H504" s="132"/>
    </row>
    <row r="505" spans="1:9" ht="15.75" thickBot="1">
      <c r="A505" s="135"/>
      <c r="B505" s="197"/>
      <c r="C505" s="198"/>
      <c r="D505" s="227"/>
      <c r="E505" s="228" t="s">
        <v>60</v>
      </c>
      <c r="F505" s="532">
        <f>SUM(F501:F504)</f>
        <v>226.57000000000002</v>
      </c>
    </row>
    <row r="506" spans="1:9" ht="15.75" thickBot="1">
      <c r="A506" s="189"/>
      <c r="B506" s="2075" t="s">
        <v>55</v>
      </c>
      <c r="C506" s="2075"/>
      <c r="D506" s="2075"/>
      <c r="E506" s="2075"/>
      <c r="F506" s="533">
        <f>F499+F505</f>
        <v>228.72000000000003</v>
      </c>
    </row>
    <row r="507" spans="1:9" ht="6" customHeight="1" thickBot="1">
      <c r="A507" s="630"/>
      <c r="B507" s="631"/>
      <c r="C507" s="632"/>
      <c r="D507" s="633"/>
      <c r="E507" s="633"/>
      <c r="F507" s="630"/>
      <c r="G507" s="61"/>
      <c r="H507" s="61"/>
    </row>
    <row r="508" spans="1:9" ht="50.25" customHeight="1" thickBot="1">
      <c r="A508" s="2113" t="s">
        <v>136</v>
      </c>
      <c r="B508" s="2114"/>
      <c r="C508" s="2002" t="s">
        <v>116</v>
      </c>
      <c r="D508" s="2002"/>
      <c r="E508" s="2002"/>
      <c r="F508" s="2003"/>
    </row>
    <row r="510" spans="1:9">
      <c r="A510" s="811"/>
      <c r="G510" s="46"/>
      <c r="H510" s="46"/>
      <c r="I510" s="46"/>
    </row>
    <row r="511" spans="1:9">
      <c r="A511" s="1003"/>
      <c r="B511" s="1003"/>
      <c r="C511" s="1003"/>
      <c r="D511" s="1003"/>
      <c r="E511" s="1005"/>
      <c r="F511" s="1003"/>
      <c r="G511" s="46"/>
      <c r="H511" s="46"/>
      <c r="I511" s="46"/>
    </row>
    <row r="512" spans="1:9">
      <c r="A512" s="71"/>
      <c r="B512" s="255"/>
      <c r="C512" s="989"/>
      <c r="D512" s="990"/>
      <c r="E512" s="1010"/>
      <c r="F512" s="991"/>
      <c r="G512" s="46"/>
      <c r="H512" s="46"/>
      <c r="I512" s="46"/>
    </row>
    <row r="513" spans="1:9">
      <c r="A513" s="946"/>
      <c r="B513" s="992"/>
      <c r="C513" s="296"/>
      <c r="D513" s="940"/>
      <c r="E513" s="574"/>
      <c r="F513" s="941"/>
      <c r="G513" s="46"/>
      <c r="H513" s="46"/>
      <c r="I513" s="46"/>
    </row>
    <row r="514" spans="1:9">
      <c r="A514" s="946"/>
      <c r="B514" s="992"/>
      <c r="C514" s="296"/>
      <c r="D514" s="940"/>
      <c r="E514" s="529"/>
      <c r="F514" s="941"/>
      <c r="G514" s="46"/>
      <c r="H514" s="46"/>
      <c r="I514" s="46"/>
    </row>
    <row r="515" spans="1:9">
      <c r="A515" s="945"/>
      <c r="B515" s="993"/>
      <c r="C515" s="994"/>
      <c r="D515" s="995"/>
      <c r="E515" s="776"/>
      <c r="F515" s="991"/>
      <c r="G515" s="46"/>
      <c r="H515" s="46"/>
      <c r="I515" s="46"/>
    </row>
    <row r="516" spans="1:9">
      <c r="A516" s="945"/>
      <c r="B516" s="255"/>
      <c r="C516" s="989"/>
      <c r="D516" s="990"/>
      <c r="E516" s="1010"/>
      <c r="F516" s="991"/>
      <c r="G516" s="46"/>
      <c r="H516" s="46"/>
      <c r="I516" s="46"/>
    </row>
    <row r="517" spans="1:9">
      <c r="A517" s="890"/>
      <c r="B517" s="996"/>
      <c r="C517" s="296"/>
      <c r="D517" s="997"/>
      <c r="E517" s="529"/>
      <c r="F517" s="998"/>
      <c r="G517" s="46"/>
      <c r="H517" s="46"/>
      <c r="I517" s="46"/>
    </row>
    <row r="518" spans="1:9">
      <c r="A518" s="890"/>
      <c r="B518" s="999"/>
      <c r="C518" s="296"/>
      <c r="D518" s="927"/>
      <c r="E518" s="529"/>
      <c r="F518" s="998"/>
      <c r="G518" s="46"/>
      <c r="H518" s="46"/>
      <c r="I518" s="46"/>
    </row>
    <row r="519" spans="1:9">
      <c r="A519" s="885"/>
      <c r="B519" s="1000"/>
      <c r="C519" s="1001"/>
      <c r="D519" s="1002"/>
      <c r="E519" s="776"/>
      <c r="F519" s="991"/>
      <c r="G519" s="46"/>
      <c r="H519" s="46"/>
      <c r="I519" s="46"/>
    </row>
    <row r="520" spans="1:9">
      <c r="A520" s="534"/>
      <c r="B520" s="1006"/>
      <c r="C520" s="1007"/>
      <c r="D520" s="1008"/>
      <c r="E520" s="1009"/>
      <c r="F520" s="391"/>
      <c r="G520" s="46"/>
      <c r="H520" s="46"/>
      <c r="I520" s="46"/>
    </row>
    <row r="521" spans="1:9" ht="30" customHeight="1">
      <c r="A521" s="46"/>
      <c r="B521" s="1004"/>
      <c r="C521" s="1004"/>
      <c r="D521" s="1004"/>
      <c r="E521" s="1011"/>
      <c r="F521" s="46"/>
      <c r="G521" s="46"/>
      <c r="H521" s="46"/>
      <c r="I521" s="46"/>
    </row>
    <row r="522" spans="1:9">
      <c r="E522" s="1012"/>
    </row>
    <row r="523" spans="1:9">
      <c r="E523" s="1012"/>
    </row>
  </sheetData>
  <mergeCells count="157">
    <mergeCell ref="C362:E362"/>
    <mergeCell ref="D379:E379"/>
    <mergeCell ref="C412:E412"/>
    <mergeCell ref="B107:E107"/>
    <mergeCell ref="B108:E108"/>
    <mergeCell ref="D109:E109"/>
    <mergeCell ref="D110:E110"/>
    <mergeCell ref="D111:E111"/>
    <mergeCell ref="D112:E112"/>
    <mergeCell ref="D113:E113"/>
    <mergeCell ref="B142:E142"/>
    <mergeCell ref="B143:E143"/>
    <mergeCell ref="D144:E144"/>
    <mergeCell ref="D145:E145"/>
    <mergeCell ref="D146:E146"/>
    <mergeCell ref="C161:E161"/>
    <mergeCell ref="B211:E211"/>
    <mergeCell ref="B255:E255"/>
    <mergeCell ref="D256:E256"/>
    <mergeCell ref="D360:E360"/>
    <mergeCell ref="D361:E361"/>
    <mergeCell ref="B506:E506"/>
    <mergeCell ref="A442:F442"/>
    <mergeCell ref="B280:E280"/>
    <mergeCell ref="A283:F283"/>
    <mergeCell ref="B294:E294"/>
    <mergeCell ref="B305:E305"/>
    <mergeCell ref="B316:E316"/>
    <mergeCell ref="A345:F345"/>
    <mergeCell ref="B355:E355"/>
    <mergeCell ref="A365:F365"/>
    <mergeCell ref="B372:E372"/>
    <mergeCell ref="A382:F382"/>
    <mergeCell ref="B389:E389"/>
    <mergeCell ref="B373:E373"/>
    <mergeCell ref="D374:E374"/>
    <mergeCell ref="B439:E439"/>
    <mergeCell ref="D395:E395"/>
    <mergeCell ref="A398:F398"/>
    <mergeCell ref="A319:F319"/>
    <mergeCell ref="A297:F297"/>
    <mergeCell ref="A308:F308"/>
    <mergeCell ref="A495:F495"/>
    <mergeCell ref="A483:F483"/>
    <mergeCell ref="B492:E492"/>
    <mergeCell ref="A81:F81"/>
    <mergeCell ref="B90:E90"/>
    <mergeCell ref="C91:D91"/>
    <mergeCell ref="D93:E93"/>
    <mergeCell ref="D94:E94"/>
    <mergeCell ref="D95:E95"/>
    <mergeCell ref="D96:E96"/>
    <mergeCell ref="D97:E97"/>
    <mergeCell ref="A116:F116"/>
    <mergeCell ref="B92:E92"/>
    <mergeCell ref="A508:B508"/>
    <mergeCell ref="C508:F508"/>
    <mergeCell ref="D127:E127"/>
    <mergeCell ref="D128:E128"/>
    <mergeCell ref="D129:E129"/>
    <mergeCell ref="D130:E130"/>
    <mergeCell ref="D131:E131"/>
    <mergeCell ref="A134:F134"/>
    <mergeCell ref="B329:E329"/>
    <mergeCell ref="A332:F332"/>
    <mergeCell ref="B342:E342"/>
    <mergeCell ref="B242:E242"/>
    <mergeCell ref="D230:E230"/>
    <mergeCell ref="A259:F259"/>
    <mergeCell ref="B268:E268"/>
    <mergeCell ref="B452:E452"/>
    <mergeCell ref="A468:F468"/>
    <mergeCell ref="B480:E480"/>
    <mergeCell ref="D229:E229"/>
    <mergeCell ref="D215:E215"/>
    <mergeCell ref="D216:E216"/>
    <mergeCell ref="D228:E228"/>
    <mergeCell ref="A271:F271"/>
    <mergeCell ref="A455:F455"/>
    <mergeCell ref="A25:F25"/>
    <mergeCell ref="B37:E37"/>
    <mergeCell ref="B64:E64"/>
    <mergeCell ref="B3:F3"/>
    <mergeCell ref="B4:F4"/>
    <mergeCell ref="B20:E20"/>
    <mergeCell ref="B21:E21"/>
    <mergeCell ref="B22:E22"/>
    <mergeCell ref="B5:F5"/>
    <mergeCell ref="A14:F14"/>
    <mergeCell ref="A40:F40"/>
    <mergeCell ref="B67:F67"/>
    <mergeCell ref="D163:E163"/>
    <mergeCell ref="D164:E164"/>
    <mergeCell ref="D165:E165"/>
    <mergeCell ref="D166:E166"/>
    <mergeCell ref="D167:E167"/>
    <mergeCell ref="A245:F245"/>
    <mergeCell ref="A170:F170"/>
    <mergeCell ref="B177:E177"/>
    <mergeCell ref="A100:F100"/>
    <mergeCell ref="B78:E78"/>
    <mergeCell ref="A203:F203"/>
    <mergeCell ref="B178:E178"/>
    <mergeCell ref="D179:E179"/>
    <mergeCell ref="D180:E180"/>
    <mergeCell ref="D181:E181"/>
    <mergeCell ref="B125:E125"/>
    <mergeCell ref="B126:E126"/>
    <mergeCell ref="A235:F235"/>
    <mergeCell ref="A151:F151"/>
    <mergeCell ref="B227:E227"/>
    <mergeCell ref="D212:E212"/>
    <mergeCell ref="D231:E231"/>
    <mergeCell ref="D232:E232"/>
    <mergeCell ref="B465:E465"/>
    <mergeCell ref="B356:E356"/>
    <mergeCell ref="D357:E357"/>
    <mergeCell ref="D358:E358"/>
    <mergeCell ref="D359:E359"/>
    <mergeCell ref="D147:E147"/>
    <mergeCell ref="D148:E148"/>
    <mergeCell ref="B162:E162"/>
    <mergeCell ref="A219:F219"/>
    <mergeCell ref="B226:E226"/>
    <mergeCell ref="D213:E213"/>
    <mergeCell ref="D214:E214"/>
    <mergeCell ref="B160:E160"/>
    <mergeCell ref="D182:E182"/>
    <mergeCell ref="D183:E183"/>
    <mergeCell ref="A186:F186"/>
    <mergeCell ref="B194:E194"/>
    <mergeCell ref="D200:E200"/>
    <mergeCell ref="B195:E195"/>
    <mergeCell ref="D196:E196"/>
    <mergeCell ref="D197:E197"/>
    <mergeCell ref="D198:E198"/>
    <mergeCell ref="D199:E199"/>
    <mergeCell ref="B210:E210"/>
    <mergeCell ref="A415:F415"/>
    <mergeCell ref="B422:E422"/>
    <mergeCell ref="A425:F425"/>
    <mergeCell ref="D375:E375"/>
    <mergeCell ref="D376:E376"/>
    <mergeCell ref="D377:E377"/>
    <mergeCell ref="D378:E378"/>
    <mergeCell ref="B390:E390"/>
    <mergeCell ref="D391:E391"/>
    <mergeCell ref="D392:E392"/>
    <mergeCell ref="D393:E393"/>
    <mergeCell ref="D394:E394"/>
    <mergeCell ref="B405:E405"/>
    <mergeCell ref="B406:E406"/>
    <mergeCell ref="D407:E407"/>
    <mergeCell ref="D408:E408"/>
    <mergeCell ref="D409:E409"/>
    <mergeCell ref="D410:E410"/>
    <mergeCell ref="D411:E411"/>
  </mergeCells>
  <hyperlinks>
    <hyperlink ref="F378" r:id="rId1"/>
    <hyperlink ref="F166" r:id="rId2"/>
    <hyperlink ref="F182" r:id="rId3"/>
    <hyperlink ref="F199" r:id="rId4"/>
    <hyperlink ref="F231" r:id="rId5"/>
  </hyperlinks>
  <printOptions horizontalCentered="1"/>
  <pageMargins left="0.70866141732283472" right="0.70866141732283472" top="0.74803149606299213" bottom="0.74803149606299213" header="0.31496062992125984" footer="0.31496062992125984"/>
  <pageSetup paperSize="9" scale="60"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6"/>
  <sheetViews>
    <sheetView workbookViewId="0">
      <selection activeCell="A14" sqref="A14:F14"/>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1.42578125" customWidth="1"/>
    <col min="9" max="9" width="29.42578125" customWidth="1"/>
  </cols>
  <sheetData>
    <row r="1" spans="1:9">
      <c r="A1" s="140"/>
      <c r="B1" s="141"/>
      <c r="C1" s="141"/>
      <c r="D1" s="141"/>
      <c r="E1" s="141"/>
      <c r="F1" s="142"/>
    </row>
    <row r="2" spans="1:9">
      <c r="A2" s="135"/>
      <c r="B2" s="46"/>
      <c r="C2" s="46"/>
      <c r="D2" s="46"/>
      <c r="E2" s="46"/>
      <c r="F2" s="136"/>
    </row>
    <row r="3" spans="1:9">
      <c r="A3" s="135"/>
      <c r="B3" s="2004" t="s">
        <v>127</v>
      </c>
      <c r="C3" s="2004"/>
      <c r="D3" s="2004"/>
      <c r="E3" s="2004"/>
      <c r="F3" s="2101"/>
    </row>
    <row r="4" spans="1:9">
      <c r="A4" s="135"/>
      <c r="B4" s="2004" t="s">
        <v>128</v>
      </c>
      <c r="C4" s="2004"/>
      <c r="D4" s="2004"/>
      <c r="E4" s="2004"/>
      <c r="F4" s="2101"/>
    </row>
    <row r="5" spans="1:9">
      <c r="A5" s="135"/>
      <c r="B5" s="2108" t="s">
        <v>284</v>
      </c>
      <c r="C5" s="2108"/>
      <c r="D5" s="2108"/>
      <c r="E5" s="2108"/>
      <c r="F5" s="2109"/>
    </row>
    <row r="6" spans="1:9" ht="15.75" thickBot="1">
      <c r="A6" s="245"/>
      <c r="B6" s="1257"/>
      <c r="C6" s="1257"/>
      <c r="D6" s="1257"/>
      <c r="E6" s="1257"/>
      <c r="F6" s="1667"/>
    </row>
    <row r="7" spans="1:9" ht="3" customHeight="1" thickBot="1"/>
    <row r="8" spans="1:9">
      <c r="A8" s="242" t="s">
        <v>0</v>
      </c>
      <c r="B8" s="141" t="str">
        <f>'PLANILHA SEM DESON'!B7:C7</f>
        <v>364778/2019</v>
      </c>
      <c r="C8" s="141"/>
      <c r="D8" s="141"/>
      <c r="E8" s="243" t="s">
        <v>131</v>
      </c>
      <c r="F8" s="716">
        <f>'PLANILHA SEM DESON'!I10</f>
        <v>44414</v>
      </c>
    </row>
    <row r="9" spans="1:9">
      <c r="A9" s="214" t="s">
        <v>1</v>
      </c>
      <c r="B9" s="46" t="str">
        <f>'PLANILHA SEM DESON'!B8:C8</f>
        <v>CONSTRUÇÃO DE DIRETORIA DE UNIDADE DESCONCENTRADA DA SEMA - DUDS</v>
      </c>
      <c r="C9" s="46"/>
      <c r="D9" s="46"/>
      <c r="E9" s="46"/>
      <c r="F9" s="136"/>
    </row>
    <row r="10" spans="1:9">
      <c r="A10" s="214" t="s">
        <v>2</v>
      </c>
      <c r="B10" s="46" t="str">
        <f>'PLANILHA SEM DESON'!B9:C9</f>
        <v>Rua Erichin, esquina com Rua Circular - Bairro Residencial Arco Íris</v>
      </c>
      <c r="C10" s="46"/>
      <c r="D10" s="46"/>
      <c r="E10" s="46"/>
      <c r="F10" s="136"/>
    </row>
    <row r="11" spans="1:9">
      <c r="A11" s="214" t="s">
        <v>4</v>
      </c>
      <c r="B11" s="46" t="str">
        <f>'PLANILHA SEM DESON'!B10:C10</f>
        <v>CONFRESA - MT</v>
      </c>
      <c r="C11" s="46"/>
      <c r="D11" s="46"/>
      <c r="E11" s="46"/>
      <c r="F11" s="136"/>
    </row>
    <row r="12" spans="1:9" ht="15.75" thickBot="1">
      <c r="A12" s="215" t="s">
        <v>6</v>
      </c>
      <c r="B12" s="1257" t="str">
        <f>'PLANILHA SEM DESON'!B11</f>
        <v xml:space="preserve">CONSTRUÇÃO </v>
      </c>
      <c r="C12" s="1257"/>
      <c r="D12" s="1257"/>
      <c r="E12" s="1257"/>
      <c r="F12" s="1667"/>
    </row>
    <row r="13" spans="1:9" ht="6" customHeight="1" thickBot="1">
      <c r="A13" s="46"/>
    </row>
    <row r="14" spans="1:9" ht="16.5" thickBot="1">
      <c r="A14" s="2158" t="s">
        <v>465</v>
      </c>
      <c r="B14" s="2159"/>
      <c r="C14" s="2159"/>
      <c r="D14" s="2159"/>
      <c r="E14" s="2159"/>
      <c r="F14" s="2160"/>
    </row>
    <row r="15" spans="1:9" ht="15.75" thickBot="1">
      <c r="A15" s="467" t="s">
        <v>466</v>
      </c>
      <c r="B15" s="468" t="s">
        <v>467</v>
      </c>
      <c r="C15" s="188" t="s">
        <v>57</v>
      </c>
      <c r="D15" s="219"/>
      <c r="E15" s="219"/>
      <c r="F15" s="220"/>
      <c r="H15" s="414"/>
      <c r="I15" s="807" t="s">
        <v>1124</v>
      </c>
    </row>
    <row r="16" spans="1:9">
      <c r="A16" s="2155" t="s">
        <v>468</v>
      </c>
      <c r="B16" s="2156"/>
      <c r="C16" s="2156"/>
      <c r="D16" s="2156"/>
      <c r="E16" s="2156"/>
      <c r="F16" s="2157"/>
    </row>
    <row r="17" spans="1:8" ht="30">
      <c r="A17" s="80"/>
      <c r="B17" s="81" t="s">
        <v>50</v>
      </c>
      <c r="C17" s="82" t="s">
        <v>51</v>
      </c>
      <c r="D17" s="83" t="s">
        <v>52</v>
      </c>
      <c r="E17" s="84" t="s">
        <v>53</v>
      </c>
      <c r="F17" s="85" t="s">
        <v>54</v>
      </c>
    </row>
    <row r="18" spans="1:8">
      <c r="A18" s="361">
        <v>88264</v>
      </c>
      <c r="B18" s="103" t="s">
        <v>94</v>
      </c>
      <c r="C18" s="99" t="s">
        <v>59</v>
      </c>
      <c r="D18" s="226">
        <v>0.15</v>
      </c>
      <c r="E18" s="223">
        <v>20.6</v>
      </c>
      <c r="F18" s="470">
        <f>TRUNC(D18*E18,2)</f>
        <v>3.09</v>
      </c>
    </row>
    <row r="19" spans="1:8" ht="25.5">
      <c r="A19" s="145">
        <v>88247</v>
      </c>
      <c r="B19" s="103" t="s">
        <v>93</v>
      </c>
      <c r="C19" s="99" t="s">
        <v>59</v>
      </c>
      <c r="D19" s="226">
        <v>0.15</v>
      </c>
      <c r="E19" s="1610">
        <v>15.61</v>
      </c>
      <c r="F19" s="470">
        <f>TRUNC(D19*E19,2)</f>
        <v>2.34</v>
      </c>
    </row>
    <row r="20" spans="1:8">
      <c r="A20" s="803"/>
      <c r="B20" s="218"/>
      <c r="C20" s="89"/>
      <c r="D20" s="90"/>
      <c r="E20" s="1611" t="s">
        <v>60</v>
      </c>
      <c r="F20" s="91">
        <f>SUM(F18:F19)</f>
        <v>5.43</v>
      </c>
    </row>
    <row r="21" spans="1:8" ht="30">
      <c r="A21" s="388"/>
      <c r="B21" s="1593" t="s">
        <v>95</v>
      </c>
      <c r="C21" s="94" t="s">
        <v>51</v>
      </c>
      <c r="D21" s="95" t="s">
        <v>52</v>
      </c>
      <c r="E21" s="107" t="s">
        <v>64</v>
      </c>
      <c r="F21" s="96" t="s">
        <v>54</v>
      </c>
    </row>
    <row r="22" spans="1:8">
      <c r="A22" s="145">
        <v>39601</v>
      </c>
      <c r="B22" s="398" t="s">
        <v>467</v>
      </c>
      <c r="C22" s="99" t="s">
        <v>57</v>
      </c>
      <c r="D22" s="471">
        <v>1</v>
      </c>
      <c r="E22" s="1610">
        <v>18.02</v>
      </c>
      <c r="F22" s="470">
        <f>TRUNC(D22*E22,2)</f>
        <v>18.02</v>
      </c>
    </row>
    <row r="23" spans="1:8" ht="15.75" thickBot="1">
      <c r="A23" s="1614"/>
      <c r="B23" s="1615"/>
      <c r="C23" s="1616"/>
      <c r="D23" s="1617"/>
      <c r="E23" s="1611" t="s">
        <v>60</v>
      </c>
      <c r="F23" s="1618">
        <f>SUM(F22:F22)</f>
        <v>18.02</v>
      </c>
    </row>
    <row r="24" spans="1:8" ht="15.75" thickBot="1">
      <c r="A24" s="193"/>
      <c r="B24" s="2142" t="s">
        <v>55</v>
      </c>
      <c r="C24" s="2143"/>
      <c r="D24" s="2143"/>
      <c r="E24" s="2144"/>
      <c r="F24" s="196">
        <f>F20+F23</f>
        <v>23.45</v>
      </c>
    </row>
    <row r="25" spans="1:8" ht="15.75" thickBot="1"/>
    <row r="26" spans="1:8" ht="15.75" thickBot="1">
      <c r="A26" s="467" t="s">
        <v>469</v>
      </c>
      <c r="B26" s="468" t="s">
        <v>1104</v>
      </c>
      <c r="C26" s="188" t="s">
        <v>57</v>
      </c>
      <c r="D26" s="219"/>
      <c r="E26" s="219"/>
      <c r="F26" s="220"/>
      <c r="H26" s="414" t="s">
        <v>412</v>
      </c>
    </row>
    <row r="27" spans="1:8">
      <c r="A27" s="2155" t="s">
        <v>1126</v>
      </c>
      <c r="B27" s="2156"/>
      <c r="C27" s="2156"/>
      <c r="D27" s="2156"/>
      <c r="E27" s="2156"/>
      <c r="F27" s="2157"/>
    </row>
    <row r="28" spans="1:8" ht="30">
      <c r="A28" s="80"/>
      <c r="B28" s="81" t="s">
        <v>50</v>
      </c>
      <c r="C28" s="82" t="s">
        <v>51</v>
      </c>
      <c r="D28" s="83" t="s">
        <v>52</v>
      </c>
      <c r="E28" s="84" t="s">
        <v>53</v>
      </c>
      <c r="F28" s="85" t="s">
        <v>54</v>
      </c>
    </row>
    <row r="29" spans="1:8">
      <c r="A29" s="361">
        <v>88264</v>
      </c>
      <c r="B29" s="103" t="s">
        <v>94</v>
      </c>
      <c r="C29" s="99" t="s">
        <v>59</v>
      </c>
      <c r="D29" s="226">
        <v>0.2</v>
      </c>
      <c r="E29" s="223">
        <v>20.6</v>
      </c>
      <c r="F29" s="470">
        <f>TRUNC(D29*E29,2)</f>
        <v>4.12</v>
      </c>
    </row>
    <row r="30" spans="1:8" ht="26.25" customHeight="1">
      <c r="A30" s="145">
        <v>88247</v>
      </c>
      <c r="B30" s="103" t="s">
        <v>93</v>
      </c>
      <c r="C30" s="99" t="s">
        <v>59</v>
      </c>
      <c r="D30" s="226">
        <v>0.2</v>
      </c>
      <c r="E30" s="1610">
        <v>15.61</v>
      </c>
      <c r="F30" s="470">
        <f>TRUNC(D30*E30,2)</f>
        <v>3.12</v>
      </c>
    </row>
    <row r="31" spans="1:8">
      <c r="A31" s="803"/>
      <c r="B31" s="218"/>
      <c r="C31" s="89"/>
      <c r="D31" s="90"/>
      <c r="E31" s="1611" t="s">
        <v>60</v>
      </c>
      <c r="F31" s="472">
        <f>SUM(F29:F30)</f>
        <v>7.24</v>
      </c>
    </row>
    <row r="32" spans="1:8" ht="30">
      <c r="A32" s="388"/>
      <c r="B32" s="1593" t="s">
        <v>95</v>
      </c>
      <c r="C32" s="94" t="s">
        <v>51</v>
      </c>
      <c r="D32" s="95" t="s">
        <v>52</v>
      </c>
      <c r="E32" s="107" t="s">
        <v>64</v>
      </c>
      <c r="F32" s="96" t="s">
        <v>54</v>
      </c>
    </row>
    <row r="33" spans="1:9">
      <c r="A33" s="145" t="s">
        <v>67</v>
      </c>
      <c r="B33" s="778" t="s">
        <v>1127</v>
      </c>
      <c r="C33" s="99" t="s">
        <v>57</v>
      </c>
      <c r="D33" s="471">
        <v>1</v>
      </c>
      <c r="E33" s="1610">
        <v>25.77</v>
      </c>
      <c r="F33" s="470">
        <f>TRUNC(D33*E33,2)</f>
        <v>25.77</v>
      </c>
    </row>
    <row r="34" spans="1:9" ht="15.75" thickBot="1">
      <c r="A34" s="1614"/>
      <c r="B34" s="1615"/>
      <c r="C34" s="1616"/>
      <c r="D34" s="1617"/>
      <c r="E34" s="1611" t="s">
        <v>60</v>
      </c>
      <c r="F34" s="1651">
        <f>SUM(F33:F33)</f>
        <v>25.77</v>
      </c>
    </row>
    <row r="35" spans="1:9" ht="15.75" thickBot="1">
      <c r="A35" s="193"/>
      <c r="B35" s="2142" t="s">
        <v>55</v>
      </c>
      <c r="C35" s="2143"/>
      <c r="D35" s="2143"/>
      <c r="E35" s="2144"/>
      <c r="F35" s="196">
        <f>F31+F34</f>
        <v>33.01</v>
      </c>
    </row>
    <row r="36" spans="1:9">
      <c r="A36" s="194"/>
      <c r="B36" s="2145" t="s">
        <v>96</v>
      </c>
      <c r="C36" s="2146"/>
      <c r="D36" s="2146"/>
      <c r="E36" s="2147"/>
      <c r="F36" s="195"/>
    </row>
    <row r="37" spans="1:9" ht="25.5">
      <c r="A37" s="163" t="s">
        <v>61</v>
      </c>
      <c r="B37" s="107" t="s">
        <v>97</v>
      </c>
      <c r="C37" s="294" t="s">
        <v>98</v>
      </c>
      <c r="D37" s="2148" t="s">
        <v>62</v>
      </c>
      <c r="E37" s="2149"/>
      <c r="F37" s="164" t="s">
        <v>99</v>
      </c>
    </row>
    <row r="38" spans="1:9" ht="25.5">
      <c r="A38" s="222">
        <v>44397</v>
      </c>
      <c r="B38" s="204" t="s">
        <v>473</v>
      </c>
      <c r="C38" s="202">
        <v>28.83</v>
      </c>
      <c r="D38" s="2061" t="s">
        <v>474</v>
      </c>
      <c r="E38" s="2062"/>
      <c r="F38" s="148" t="s">
        <v>2335</v>
      </c>
    </row>
    <row r="39" spans="1:9">
      <c r="A39" s="222">
        <v>44406</v>
      </c>
      <c r="B39" s="204" t="s">
        <v>2336</v>
      </c>
      <c r="C39" s="202">
        <v>19.23</v>
      </c>
      <c r="D39" s="2061" t="s">
        <v>2337</v>
      </c>
      <c r="E39" s="2062"/>
      <c r="F39" s="1575" t="s">
        <v>2338</v>
      </c>
    </row>
    <row r="40" spans="1:9" ht="25.5">
      <c r="A40" s="222">
        <v>44407</v>
      </c>
      <c r="B40" s="204" t="s">
        <v>475</v>
      </c>
      <c r="C40" s="202">
        <v>25.77</v>
      </c>
      <c r="D40" s="2061" t="s">
        <v>476</v>
      </c>
      <c r="E40" s="2062"/>
      <c r="F40" s="148" t="s">
        <v>2339</v>
      </c>
    </row>
    <row r="41" spans="1:9" ht="15.75" thickBot="1">
      <c r="A41" s="149"/>
      <c r="B41" s="312" t="s">
        <v>63</v>
      </c>
      <c r="C41" s="150">
        <f>MEDIAN(C38:C40)</f>
        <v>25.77</v>
      </c>
      <c r="D41" s="2079"/>
      <c r="E41" s="2080"/>
      <c r="F41" s="151"/>
    </row>
    <row r="42" spans="1:9" ht="15.75" thickBot="1"/>
    <row r="43" spans="1:9" ht="15.75" thickBot="1">
      <c r="A43" s="467" t="s">
        <v>470</v>
      </c>
      <c r="B43" s="468" t="s">
        <v>1103</v>
      </c>
      <c r="C43" s="188" t="s">
        <v>57</v>
      </c>
      <c r="D43" s="219"/>
      <c r="E43" s="219"/>
      <c r="F43" s="220"/>
      <c r="H43" s="414"/>
    </row>
    <row r="44" spans="1:9">
      <c r="A44" s="2155" t="s">
        <v>471</v>
      </c>
      <c r="B44" s="2156"/>
      <c r="C44" s="2156"/>
      <c r="D44" s="2156"/>
      <c r="E44" s="2156"/>
      <c r="F44" s="2157"/>
      <c r="I44" s="473"/>
    </row>
    <row r="45" spans="1:9" ht="30">
      <c r="A45" s="80"/>
      <c r="B45" s="81" t="s">
        <v>50</v>
      </c>
      <c r="C45" s="82" t="s">
        <v>51</v>
      </c>
      <c r="D45" s="83" t="s">
        <v>52</v>
      </c>
      <c r="E45" s="84" t="s">
        <v>53</v>
      </c>
      <c r="F45" s="85" t="s">
        <v>54</v>
      </c>
    </row>
    <row r="46" spans="1:9">
      <c r="A46" s="361">
        <v>88264</v>
      </c>
      <c r="B46" s="103" t="s">
        <v>94</v>
      </c>
      <c r="C46" s="99" t="s">
        <v>59</v>
      </c>
      <c r="D46" s="143">
        <v>0.2</v>
      </c>
      <c r="E46" s="223">
        <v>20.6</v>
      </c>
      <c r="F46" s="88">
        <f>TRUNC(D46*E46,2)</f>
        <v>4.12</v>
      </c>
    </row>
    <row r="47" spans="1:9">
      <c r="A47" s="803"/>
      <c r="B47" s="218"/>
      <c r="C47" s="89"/>
      <c r="D47" s="90"/>
      <c r="E47" s="1611" t="s">
        <v>60</v>
      </c>
      <c r="F47" s="91">
        <f>SUM(F46:F46)</f>
        <v>4.12</v>
      </c>
    </row>
    <row r="48" spans="1:9" ht="30">
      <c r="A48" s="388"/>
      <c r="B48" s="1593" t="s">
        <v>95</v>
      </c>
      <c r="C48" s="94" t="s">
        <v>51</v>
      </c>
      <c r="D48" s="95" t="s">
        <v>52</v>
      </c>
      <c r="E48" s="107" t="s">
        <v>64</v>
      </c>
      <c r="F48" s="96" t="s">
        <v>54</v>
      </c>
    </row>
    <row r="49" spans="1:11">
      <c r="A49" s="145" t="s">
        <v>67</v>
      </c>
      <c r="B49" s="398" t="s">
        <v>472</v>
      </c>
      <c r="C49" s="99" t="s">
        <v>57</v>
      </c>
      <c r="D49" s="108">
        <v>1</v>
      </c>
      <c r="E49" s="1612">
        <v>25.72</v>
      </c>
      <c r="F49" s="88">
        <f>TRUNC(D49*E49,2)</f>
        <v>25.72</v>
      </c>
    </row>
    <row r="50" spans="1:11" ht="15" customHeight="1" thickBot="1">
      <c r="A50" s="1614"/>
      <c r="B50" s="1615"/>
      <c r="C50" s="1616"/>
      <c r="D50" s="1617"/>
      <c r="E50" s="1611" t="s">
        <v>60</v>
      </c>
      <c r="F50" s="1618">
        <f>SUM(F49:F49)</f>
        <v>25.72</v>
      </c>
    </row>
    <row r="51" spans="1:11" ht="15.75" thickBot="1">
      <c r="A51" s="193"/>
      <c r="B51" s="2142" t="s">
        <v>55</v>
      </c>
      <c r="C51" s="2143"/>
      <c r="D51" s="2143"/>
      <c r="E51" s="2144"/>
      <c r="F51" s="196">
        <f>F47+F50</f>
        <v>29.84</v>
      </c>
    </row>
    <row r="52" spans="1:11">
      <c r="A52" s="194"/>
      <c r="B52" s="2145" t="s">
        <v>96</v>
      </c>
      <c r="C52" s="2146"/>
      <c r="D52" s="2146"/>
      <c r="E52" s="2147"/>
      <c r="F52" s="195"/>
    </row>
    <row r="53" spans="1:11" ht="25.5">
      <c r="A53" s="163" t="s">
        <v>61</v>
      </c>
      <c r="B53" s="107" t="s">
        <v>97</v>
      </c>
      <c r="C53" s="294" t="s">
        <v>98</v>
      </c>
      <c r="D53" s="2148" t="s">
        <v>62</v>
      </c>
      <c r="E53" s="2149"/>
      <c r="F53" s="164" t="s">
        <v>99</v>
      </c>
      <c r="I53" s="474"/>
    </row>
    <row r="54" spans="1:11" ht="25.5">
      <c r="A54" s="222">
        <v>44386</v>
      </c>
      <c r="B54" s="204" t="s">
        <v>2340</v>
      </c>
      <c r="C54" s="202">
        <v>31.73</v>
      </c>
      <c r="D54" s="2061" t="s">
        <v>2341</v>
      </c>
      <c r="E54" s="2062"/>
      <c r="F54" s="148" t="s">
        <v>2342</v>
      </c>
    </row>
    <row r="55" spans="1:11" ht="25.5">
      <c r="A55" s="222">
        <v>44397</v>
      </c>
      <c r="B55" s="204" t="s">
        <v>2343</v>
      </c>
      <c r="C55" s="202">
        <v>25.72</v>
      </c>
      <c r="D55" s="2061" t="s">
        <v>2344</v>
      </c>
      <c r="E55" s="2062"/>
      <c r="F55" s="148" t="s">
        <v>2345</v>
      </c>
    </row>
    <row r="56" spans="1:11" ht="25.5">
      <c r="A56" s="222">
        <v>44407</v>
      </c>
      <c r="B56" s="204" t="s">
        <v>475</v>
      </c>
      <c r="C56" s="202">
        <v>8.25</v>
      </c>
      <c r="D56" s="2061" t="s">
        <v>476</v>
      </c>
      <c r="E56" s="2062"/>
      <c r="F56" s="148" t="s">
        <v>2339</v>
      </c>
    </row>
    <row r="57" spans="1:11" ht="15.75" thickBot="1">
      <c r="A57" s="149"/>
      <c r="B57" s="312" t="s">
        <v>63</v>
      </c>
      <c r="C57" s="150">
        <f>MEDIAN(C54:C56)</f>
        <v>25.72</v>
      </c>
      <c r="D57" s="2079"/>
      <c r="E57" s="2080"/>
      <c r="F57" s="151"/>
    </row>
    <row r="58" spans="1:11" ht="15.75" thickBot="1"/>
    <row r="59" spans="1:11" ht="15.75" thickBot="1">
      <c r="A59" s="467" t="s">
        <v>477</v>
      </c>
      <c r="B59" s="468" t="s">
        <v>1101</v>
      </c>
      <c r="C59" s="188" t="s">
        <v>57</v>
      </c>
      <c r="D59" s="219"/>
      <c r="E59" s="219"/>
      <c r="F59" s="220"/>
    </row>
    <row r="60" spans="1:11" ht="15" customHeight="1">
      <c r="A60" s="2155" t="s">
        <v>471</v>
      </c>
      <c r="B60" s="2156"/>
      <c r="C60" s="2156"/>
      <c r="D60" s="2156"/>
      <c r="E60" s="2156"/>
      <c r="F60" s="2157"/>
    </row>
    <row r="61" spans="1:11" ht="32.25" customHeight="1">
      <c r="A61" s="80"/>
      <c r="B61" s="81" t="s">
        <v>50</v>
      </c>
      <c r="C61" s="82" t="s">
        <v>51</v>
      </c>
      <c r="D61" s="83" t="s">
        <v>52</v>
      </c>
      <c r="E61" s="84" t="s">
        <v>53</v>
      </c>
      <c r="F61" s="85" t="s">
        <v>54</v>
      </c>
      <c r="I61" s="808"/>
      <c r="J61" s="808"/>
      <c r="K61" s="808"/>
    </row>
    <row r="62" spans="1:11">
      <c r="A62" s="361">
        <v>88264</v>
      </c>
      <c r="B62" s="103" t="s">
        <v>94</v>
      </c>
      <c r="C62" s="99" t="s">
        <v>59</v>
      </c>
      <c r="D62" s="143">
        <v>0.2</v>
      </c>
      <c r="E62" s="223">
        <v>20.6</v>
      </c>
      <c r="F62" s="88">
        <f>TRUNC(D62*E62,2)</f>
        <v>4.12</v>
      </c>
    </row>
    <row r="63" spans="1:11">
      <c r="A63" s="803"/>
      <c r="B63" s="218"/>
      <c r="C63" s="89"/>
      <c r="D63" s="90"/>
      <c r="E63" s="1611" t="s">
        <v>60</v>
      </c>
      <c r="F63" s="91">
        <f>SUM(F62:F62)</f>
        <v>4.12</v>
      </c>
    </row>
    <row r="64" spans="1:11" ht="30">
      <c r="A64" s="388"/>
      <c r="B64" s="1593" t="s">
        <v>95</v>
      </c>
      <c r="C64" s="94" t="s">
        <v>51</v>
      </c>
      <c r="D64" s="95" t="s">
        <v>52</v>
      </c>
      <c r="E64" s="107" t="s">
        <v>64</v>
      </c>
      <c r="F64" s="96" t="s">
        <v>54</v>
      </c>
    </row>
    <row r="65" spans="1:10">
      <c r="A65" s="145" t="s">
        <v>67</v>
      </c>
      <c r="B65" s="398" t="s">
        <v>1101</v>
      </c>
      <c r="C65" s="99" t="s">
        <v>57</v>
      </c>
      <c r="D65" s="108">
        <v>1</v>
      </c>
      <c r="E65" s="1612">
        <v>65.39</v>
      </c>
      <c r="F65" s="88">
        <f>TRUNC(D65*E65,2)</f>
        <v>65.39</v>
      </c>
    </row>
    <row r="66" spans="1:10" ht="15.75" thickBot="1">
      <c r="A66" s="1614"/>
      <c r="B66" s="1615"/>
      <c r="C66" s="1616"/>
      <c r="D66" s="1617"/>
      <c r="E66" s="1611" t="s">
        <v>60</v>
      </c>
      <c r="F66" s="1618">
        <f>SUM(F65:F65)</f>
        <v>65.39</v>
      </c>
    </row>
    <row r="67" spans="1:10" ht="15.75" thickBot="1">
      <c r="A67" s="193"/>
      <c r="B67" s="2142" t="s">
        <v>55</v>
      </c>
      <c r="C67" s="2143"/>
      <c r="D67" s="2143"/>
      <c r="E67" s="2144"/>
      <c r="F67" s="196">
        <f>F63+F66</f>
        <v>69.510000000000005</v>
      </c>
    </row>
    <row r="68" spans="1:10">
      <c r="A68" s="194"/>
      <c r="B68" s="2145" t="s">
        <v>96</v>
      </c>
      <c r="C68" s="2146"/>
      <c r="D68" s="2146"/>
      <c r="E68" s="2147"/>
      <c r="F68" s="195"/>
    </row>
    <row r="69" spans="1:10" ht="25.5">
      <c r="A69" s="163" t="s">
        <v>61</v>
      </c>
      <c r="B69" s="107" t="s">
        <v>97</v>
      </c>
      <c r="C69" s="294" t="s">
        <v>98</v>
      </c>
      <c r="D69" s="2148" t="s">
        <v>62</v>
      </c>
      <c r="E69" s="2149"/>
      <c r="F69" s="164" t="s">
        <v>99</v>
      </c>
    </row>
    <row r="70" spans="1:10" ht="25.5">
      <c r="A70" s="222">
        <v>44397</v>
      </c>
      <c r="B70" s="204" t="s">
        <v>2343</v>
      </c>
      <c r="C70" s="202">
        <v>65.39</v>
      </c>
      <c r="D70" s="2061" t="s">
        <v>2344</v>
      </c>
      <c r="E70" s="2062"/>
      <c r="F70" s="148" t="s">
        <v>2345</v>
      </c>
    </row>
    <row r="71" spans="1:10">
      <c r="A71" s="222">
        <v>44403</v>
      </c>
      <c r="B71" s="204" t="s">
        <v>2346</v>
      </c>
      <c r="C71" s="202">
        <v>50.36</v>
      </c>
      <c r="D71" s="2061" t="s">
        <v>2347</v>
      </c>
      <c r="E71" s="2062"/>
      <c r="F71" s="148" t="s">
        <v>2348</v>
      </c>
      <c r="I71" t="s">
        <v>2349</v>
      </c>
    </row>
    <row r="72" spans="1:10">
      <c r="A72" s="222">
        <v>44404</v>
      </c>
      <c r="B72" s="204" t="s">
        <v>2350</v>
      </c>
      <c r="C72" s="202">
        <v>89.49</v>
      </c>
      <c r="D72" s="2061" t="s">
        <v>2351</v>
      </c>
      <c r="E72" s="2062"/>
      <c r="F72" s="148" t="s">
        <v>2348</v>
      </c>
      <c r="I72" t="s">
        <v>2352</v>
      </c>
    </row>
    <row r="73" spans="1:10" ht="15.75" thickBot="1">
      <c r="A73" s="149"/>
      <c r="B73" s="312" t="s">
        <v>63</v>
      </c>
      <c r="C73" s="150">
        <f>MEDIAN(C70:C72)</f>
        <v>65.39</v>
      </c>
      <c r="D73" s="2079"/>
      <c r="E73" s="2080"/>
      <c r="F73" s="151"/>
    </row>
    <row r="74" spans="1:10" ht="15.75" thickBot="1"/>
    <row r="75" spans="1:10" ht="15.75" thickBot="1">
      <c r="A75" s="467" t="s">
        <v>479</v>
      </c>
      <c r="B75" s="468" t="s">
        <v>2391</v>
      </c>
      <c r="C75" s="188" t="s">
        <v>57</v>
      </c>
      <c r="D75" s="219"/>
      <c r="E75" s="219"/>
      <c r="F75" s="220"/>
    </row>
    <row r="76" spans="1:10">
      <c r="A76" s="2155" t="s">
        <v>478</v>
      </c>
      <c r="B76" s="2156"/>
      <c r="C76" s="2156"/>
      <c r="D76" s="2156"/>
      <c r="E76" s="2156"/>
      <c r="F76" s="2157"/>
      <c r="I76" s="473"/>
    </row>
    <row r="77" spans="1:10" ht="30">
      <c r="A77" s="80"/>
      <c r="B77" s="81" t="s">
        <v>50</v>
      </c>
      <c r="C77" s="82" t="s">
        <v>51</v>
      </c>
      <c r="D77" s="83" t="s">
        <v>52</v>
      </c>
      <c r="E77" s="84" t="s">
        <v>53</v>
      </c>
      <c r="F77" s="85" t="s">
        <v>54</v>
      </c>
      <c r="I77" s="806"/>
      <c r="J77" s="806"/>
    </row>
    <row r="78" spans="1:10">
      <c r="A78" s="361">
        <v>88264</v>
      </c>
      <c r="B78" s="103" t="s">
        <v>94</v>
      </c>
      <c r="C78" s="99" t="s">
        <v>59</v>
      </c>
      <c r="D78" s="226">
        <v>1</v>
      </c>
      <c r="E78" s="223">
        <v>20.6</v>
      </c>
      <c r="F78" s="470">
        <f>TRUNC(D78*E78,2)</f>
        <v>20.6</v>
      </c>
    </row>
    <row r="79" spans="1:10" ht="25.5">
      <c r="A79" s="145">
        <v>88247</v>
      </c>
      <c r="B79" s="103" t="s">
        <v>93</v>
      </c>
      <c r="C79" s="99" t="s">
        <v>59</v>
      </c>
      <c r="D79" s="226">
        <v>1</v>
      </c>
      <c r="E79" s="1610">
        <v>15.61</v>
      </c>
      <c r="F79" s="470">
        <f>TRUNC(D79*E79,2)</f>
        <v>15.61</v>
      </c>
    </row>
    <row r="80" spans="1:10">
      <c r="A80" s="803"/>
      <c r="B80" s="218"/>
      <c r="C80" s="89"/>
      <c r="D80" s="90"/>
      <c r="E80" s="1611" t="s">
        <v>60</v>
      </c>
      <c r="F80" s="91">
        <f>SUM(F78:F79)</f>
        <v>36.21</v>
      </c>
    </row>
    <row r="81" spans="1:9" ht="30">
      <c r="A81" s="97"/>
      <c r="B81" s="1593" t="s">
        <v>95</v>
      </c>
      <c r="C81" s="1763" t="s">
        <v>51</v>
      </c>
      <c r="D81" s="95" t="s">
        <v>52</v>
      </c>
      <c r="E81" s="107" t="s">
        <v>64</v>
      </c>
      <c r="F81" s="96" t="s">
        <v>54</v>
      </c>
    </row>
    <row r="82" spans="1:9">
      <c r="A82" s="145" t="s">
        <v>67</v>
      </c>
      <c r="B82" s="815" t="s">
        <v>703</v>
      </c>
      <c r="C82" s="99" t="s">
        <v>57</v>
      </c>
      <c r="D82" s="471">
        <v>1</v>
      </c>
      <c r="E82" s="1610">
        <v>1756.17</v>
      </c>
      <c r="F82" s="470">
        <f>TRUNC(D82*E82,2)</f>
        <v>1756.17</v>
      </c>
    </row>
    <row r="83" spans="1:9" ht="15.75" thickBot="1">
      <c r="A83" s="1614"/>
      <c r="B83" s="1615"/>
      <c r="C83" s="1616"/>
      <c r="D83" s="1617"/>
      <c r="E83" s="1611" t="s">
        <v>60</v>
      </c>
      <c r="F83" s="1651">
        <f>SUM(F82:F82)</f>
        <v>1756.17</v>
      </c>
    </row>
    <row r="84" spans="1:9" ht="15.75" thickBot="1">
      <c r="A84" s="193"/>
      <c r="B84" s="2142" t="s">
        <v>55</v>
      </c>
      <c r="C84" s="2143"/>
      <c r="D84" s="2143"/>
      <c r="E84" s="2144"/>
      <c r="F84" s="475">
        <f>F80+F83</f>
        <v>1792.38</v>
      </c>
    </row>
    <row r="85" spans="1:9">
      <c r="A85" s="194"/>
      <c r="B85" s="2145" t="s">
        <v>96</v>
      </c>
      <c r="C85" s="2146"/>
      <c r="D85" s="2146"/>
      <c r="E85" s="2147"/>
      <c r="F85" s="195"/>
    </row>
    <row r="86" spans="1:9" ht="25.5">
      <c r="A86" s="163" t="s">
        <v>61</v>
      </c>
      <c r="B86" s="107" t="s">
        <v>97</v>
      </c>
      <c r="C86" s="294" t="s">
        <v>98</v>
      </c>
      <c r="D86" s="2148" t="s">
        <v>62</v>
      </c>
      <c r="E86" s="2149"/>
      <c r="F86" s="164" t="s">
        <v>99</v>
      </c>
    </row>
    <row r="87" spans="1:9" ht="25.5">
      <c r="A87" s="222">
        <v>44397</v>
      </c>
      <c r="B87" s="204" t="s">
        <v>2343</v>
      </c>
      <c r="C87" s="202">
        <v>1756.17</v>
      </c>
      <c r="D87" s="2061" t="s">
        <v>2344</v>
      </c>
      <c r="E87" s="2062"/>
      <c r="F87" s="148" t="s">
        <v>2345</v>
      </c>
    </row>
    <row r="88" spans="1:9" ht="25.5">
      <c r="A88" s="222">
        <v>44397</v>
      </c>
      <c r="B88" s="204" t="s">
        <v>473</v>
      </c>
      <c r="C88" s="202">
        <v>1808.58</v>
      </c>
      <c r="D88" s="2061" t="s">
        <v>474</v>
      </c>
      <c r="E88" s="2062"/>
      <c r="F88" s="148" t="s">
        <v>2335</v>
      </c>
    </row>
    <row r="89" spans="1:9" ht="25.5">
      <c r="A89" s="222">
        <v>44386</v>
      </c>
      <c r="B89" s="204" t="s">
        <v>2340</v>
      </c>
      <c r="C89" s="202">
        <v>1076.56</v>
      </c>
      <c r="D89" s="2061" t="s">
        <v>2341</v>
      </c>
      <c r="E89" s="2062"/>
      <c r="F89" s="148" t="s">
        <v>2342</v>
      </c>
    </row>
    <row r="90" spans="1:9" ht="15.75" thickBot="1">
      <c r="A90" s="149"/>
      <c r="B90" s="312" t="s">
        <v>63</v>
      </c>
      <c r="C90" s="150">
        <f>MEDIAN(C87:C89)</f>
        <v>1756.17</v>
      </c>
      <c r="D90" s="2079"/>
      <c r="E90" s="2080"/>
      <c r="F90" s="151"/>
    </row>
    <row r="91" spans="1:9" ht="15.75" thickBot="1"/>
    <row r="92" spans="1:9" ht="15.75" thickBot="1">
      <c r="A92" s="467" t="s">
        <v>482</v>
      </c>
      <c r="B92" s="468" t="s">
        <v>480</v>
      </c>
      <c r="C92" s="188" t="s">
        <v>57</v>
      </c>
      <c r="D92" s="219"/>
      <c r="E92" s="219"/>
      <c r="F92" s="220"/>
      <c r="H92" s="414"/>
    </row>
    <row r="93" spans="1:9">
      <c r="A93" s="2139" t="s">
        <v>481</v>
      </c>
      <c r="B93" s="2140"/>
      <c r="C93" s="2140"/>
      <c r="D93" s="2140"/>
      <c r="E93" s="2140"/>
      <c r="F93" s="2141"/>
      <c r="I93" s="473"/>
    </row>
    <row r="94" spans="1:9" ht="30">
      <c r="A94" s="80"/>
      <c r="B94" s="81" t="s">
        <v>50</v>
      </c>
      <c r="C94" s="82" t="s">
        <v>51</v>
      </c>
      <c r="D94" s="83" t="s">
        <v>52</v>
      </c>
      <c r="E94" s="84" t="s">
        <v>53</v>
      </c>
      <c r="F94" s="85" t="s">
        <v>54</v>
      </c>
    </row>
    <row r="95" spans="1:9">
      <c r="A95" s="361">
        <v>88264</v>
      </c>
      <c r="B95" s="103" t="s">
        <v>94</v>
      </c>
      <c r="C95" s="99" t="s">
        <v>59</v>
      </c>
      <c r="D95" s="143">
        <v>0.08</v>
      </c>
      <c r="E95" s="223">
        <v>20.6</v>
      </c>
      <c r="F95" s="88">
        <f>TRUNC(D95*E95,2)</f>
        <v>1.64</v>
      </c>
    </row>
    <row r="96" spans="1:9" ht="25.5">
      <c r="A96" s="145">
        <v>88247</v>
      </c>
      <c r="B96" s="103" t="s">
        <v>93</v>
      </c>
      <c r="C96" s="99" t="s">
        <v>59</v>
      </c>
      <c r="D96" s="143">
        <v>1</v>
      </c>
      <c r="E96" s="1610">
        <v>15.61</v>
      </c>
      <c r="F96" s="88">
        <f>TRUNC(D96*E96,2)</f>
        <v>15.61</v>
      </c>
    </row>
    <row r="97" spans="1:9">
      <c r="A97" s="803"/>
      <c r="B97" s="218"/>
      <c r="C97" s="89"/>
      <c r="D97" s="90"/>
      <c r="E97" s="1611" t="s">
        <v>60</v>
      </c>
      <c r="F97" s="91">
        <f>SUM(F95:F96)</f>
        <v>17.25</v>
      </c>
    </row>
    <row r="98" spans="1:9" ht="30">
      <c r="A98" s="97"/>
      <c r="B98" s="1593" t="s">
        <v>95</v>
      </c>
      <c r="C98" s="94" t="s">
        <v>51</v>
      </c>
      <c r="D98" s="95" t="s">
        <v>52</v>
      </c>
      <c r="E98" s="107" t="s">
        <v>64</v>
      </c>
      <c r="F98" s="96" t="s">
        <v>54</v>
      </c>
    </row>
    <row r="99" spans="1:9">
      <c r="A99" s="145" t="s">
        <v>67</v>
      </c>
      <c r="B99" s="398" t="s">
        <v>480</v>
      </c>
      <c r="C99" s="99" t="s">
        <v>57</v>
      </c>
      <c r="D99" s="108">
        <v>1</v>
      </c>
      <c r="E99" s="1612">
        <v>3.36</v>
      </c>
      <c r="F99" s="88">
        <f>TRUNC(D99*E99,2)</f>
        <v>3.36</v>
      </c>
    </row>
    <row r="100" spans="1:9" ht="15.75" thickBot="1">
      <c r="A100" s="1614"/>
      <c r="B100" s="1615"/>
      <c r="C100" s="1616"/>
      <c r="D100" s="1617"/>
      <c r="E100" s="1611" t="s">
        <v>60</v>
      </c>
      <c r="F100" s="1618">
        <f>SUM(F99:F99)</f>
        <v>3.36</v>
      </c>
    </row>
    <row r="101" spans="1:9" ht="15.75" thickBot="1">
      <c r="A101" s="193"/>
      <c r="B101" s="2142" t="s">
        <v>55</v>
      </c>
      <c r="C101" s="2143"/>
      <c r="D101" s="2143"/>
      <c r="E101" s="2144"/>
      <c r="F101" s="196">
        <f>F97+F100</f>
        <v>20.61</v>
      </c>
    </row>
    <row r="102" spans="1:9">
      <c r="A102" s="194"/>
      <c r="B102" s="2145" t="s">
        <v>96</v>
      </c>
      <c r="C102" s="2146"/>
      <c r="D102" s="2146"/>
      <c r="E102" s="2147"/>
      <c r="F102" s="195"/>
    </row>
    <row r="103" spans="1:9" ht="25.5">
      <c r="A103" s="163" t="s">
        <v>61</v>
      </c>
      <c r="B103" s="107" t="s">
        <v>97</v>
      </c>
      <c r="C103" s="294" t="s">
        <v>98</v>
      </c>
      <c r="D103" s="2148" t="s">
        <v>62</v>
      </c>
      <c r="E103" s="2149"/>
      <c r="F103" s="164" t="s">
        <v>99</v>
      </c>
    </row>
    <row r="104" spans="1:9" ht="25.5">
      <c r="A104" s="222">
        <v>44397</v>
      </c>
      <c r="B104" s="204" t="s">
        <v>2343</v>
      </c>
      <c r="C104" s="202">
        <v>3.36</v>
      </c>
      <c r="D104" s="2061" t="s">
        <v>2344</v>
      </c>
      <c r="E104" s="2062"/>
      <c r="F104" s="148" t="s">
        <v>2345</v>
      </c>
    </row>
    <row r="105" spans="1:9" ht="25.5">
      <c r="A105" s="222">
        <v>44397</v>
      </c>
      <c r="B105" s="204" t="s">
        <v>473</v>
      </c>
      <c r="C105" s="202">
        <v>2.8</v>
      </c>
      <c r="D105" s="2061" t="s">
        <v>474</v>
      </c>
      <c r="E105" s="2062"/>
      <c r="F105" s="148" t="s">
        <v>2335</v>
      </c>
    </row>
    <row r="106" spans="1:9" ht="25.5">
      <c r="A106" s="222">
        <v>44386</v>
      </c>
      <c r="B106" s="204" t="s">
        <v>2340</v>
      </c>
      <c r="C106" s="202">
        <v>3.58</v>
      </c>
      <c r="D106" s="2061" t="s">
        <v>2341</v>
      </c>
      <c r="E106" s="2062"/>
      <c r="F106" s="148" t="s">
        <v>2342</v>
      </c>
    </row>
    <row r="107" spans="1:9" ht="15.75" thickBot="1">
      <c r="A107" s="149"/>
      <c r="B107" s="312" t="s">
        <v>63</v>
      </c>
      <c r="C107" s="150">
        <f>MEDIAN(C104:C106)</f>
        <v>3.36</v>
      </c>
      <c r="D107" s="2079"/>
      <c r="E107" s="2080"/>
      <c r="F107" s="151"/>
    </row>
    <row r="108" spans="1:9" ht="15.75" thickBot="1"/>
    <row r="109" spans="1:9" ht="15.75" thickBot="1">
      <c r="A109" s="467" t="s">
        <v>484</v>
      </c>
      <c r="B109" s="468" t="s">
        <v>483</v>
      </c>
      <c r="C109" s="188" t="s">
        <v>57</v>
      </c>
      <c r="D109" s="219"/>
      <c r="E109" s="219"/>
      <c r="F109" s="220"/>
      <c r="H109" s="414" t="s">
        <v>412</v>
      </c>
    </row>
    <row r="110" spans="1:9">
      <c r="A110" s="2139" t="s">
        <v>481</v>
      </c>
      <c r="B110" s="2140"/>
      <c r="C110" s="2140"/>
      <c r="D110" s="2140"/>
      <c r="E110" s="2140"/>
      <c r="F110" s="2141"/>
      <c r="I110" s="473"/>
    </row>
    <row r="111" spans="1:9" ht="30">
      <c r="A111" s="80"/>
      <c r="B111" s="81" t="s">
        <v>50</v>
      </c>
      <c r="C111" s="82" t="s">
        <v>51</v>
      </c>
      <c r="D111" s="83" t="s">
        <v>52</v>
      </c>
      <c r="E111" s="84" t="s">
        <v>53</v>
      </c>
      <c r="F111" s="85" t="s">
        <v>54</v>
      </c>
    </row>
    <row r="112" spans="1:9">
      <c r="A112" s="361">
        <v>88264</v>
      </c>
      <c r="B112" s="103" t="s">
        <v>94</v>
      </c>
      <c r="C112" s="99" t="s">
        <v>59</v>
      </c>
      <c r="D112" s="143">
        <v>0.08</v>
      </c>
      <c r="E112" s="223">
        <v>20.6</v>
      </c>
      <c r="F112" s="88">
        <f>TRUNC(D112*E112,2)</f>
        <v>1.64</v>
      </c>
    </row>
    <row r="113" spans="1:9" ht="26.25" thickBot="1">
      <c r="A113" s="206">
        <v>88247</v>
      </c>
      <c r="B113" s="1777" t="s">
        <v>93</v>
      </c>
      <c r="C113" s="1597" t="s">
        <v>59</v>
      </c>
      <c r="D113" s="1778">
        <v>1</v>
      </c>
      <c r="E113" s="1675">
        <v>15.61</v>
      </c>
      <c r="F113" s="1779">
        <f>TRUNC(D113*E113,2)</f>
        <v>15.61</v>
      </c>
    </row>
    <row r="114" spans="1:9">
      <c r="A114" s="1780"/>
      <c r="B114" s="1781"/>
      <c r="C114" s="1782"/>
      <c r="D114" s="1783"/>
      <c r="E114" s="1784" t="s">
        <v>60</v>
      </c>
      <c r="F114" s="1785">
        <f>SUM(F112:F113)</f>
        <v>17.25</v>
      </c>
    </row>
    <row r="115" spans="1:9" ht="30">
      <c r="A115" s="97"/>
      <c r="B115" s="1593" t="s">
        <v>95</v>
      </c>
      <c r="C115" s="94" t="s">
        <v>51</v>
      </c>
      <c r="D115" s="95" t="s">
        <v>52</v>
      </c>
      <c r="E115" s="107" t="s">
        <v>64</v>
      </c>
      <c r="F115" s="96" t="s">
        <v>54</v>
      </c>
    </row>
    <row r="116" spans="1:9">
      <c r="A116" s="145" t="s">
        <v>67</v>
      </c>
      <c r="B116" s="398" t="s">
        <v>483</v>
      </c>
      <c r="C116" s="99" t="s">
        <v>57</v>
      </c>
      <c r="D116" s="108">
        <v>1</v>
      </c>
      <c r="E116" s="1612">
        <v>3.63</v>
      </c>
      <c r="F116" s="88">
        <f>TRUNC(D116*E116,2)</f>
        <v>3.63</v>
      </c>
    </row>
    <row r="117" spans="1:9" ht="15.75" thickBot="1">
      <c r="A117" s="1614"/>
      <c r="B117" s="1615"/>
      <c r="C117" s="1616"/>
      <c r="D117" s="1617"/>
      <c r="E117" s="1611" t="s">
        <v>60</v>
      </c>
      <c r="F117" s="1618">
        <f>SUM(F116:F116)</f>
        <v>3.63</v>
      </c>
    </row>
    <row r="118" spans="1:9" ht="15.75" thickBot="1">
      <c r="A118" s="193"/>
      <c r="B118" s="2142" t="s">
        <v>55</v>
      </c>
      <c r="C118" s="2143"/>
      <c r="D118" s="2143"/>
      <c r="E118" s="2144"/>
      <c r="F118" s="196">
        <f>F114+F117</f>
        <v>20.88</v>
      </c>
    </row>
    <row r="119" spans="1:9">
      <c r="A119" s="194"/>
      <c r="B119" s="2145" t="s">
        <v>96</v>
      </c>
      <c r="C119" s="2146"/>
      <c r="D119" s="2146"/>
      <c r="E119" s="2147"/>
      <c r="F119" s="195"/>
    </row>
    <row r="120" spans="1:9" ht="25.5">
      <c r="A120" s="163" t="s">
        <v>61</v>
      </c>
      <c r="B120" s="107" t="s">
        <v>97</v>
      </c>
      <c r="C120" s="294" t="s">
        <v>98</v>
      </c>
      <c r="D120" s="2148" t="s">
        <v>62</v>
      </c>
      <c r="E120" s="2149"/>
      <c r="F120" s="164" t="s">
        <v>99</v>
      </c>
    </row>
    <row r="121" spans="1:9" ht="25.5">
      <c r="A121" s="222">
        <v>44397</v>
      </c>
      <c r="B121" s="204" t="s">
        <v>2343</v>
      </c>
      <c r="C121" s="202">
        <v>3.77</v>
      </c>
      <c r="D121" s="2061" t="s">
        <v>2344</v>
      </c>
      <c r="E121" s="2062"/>
      <c r="F121" s="148" t="s">
        <v>2345</v>
      </c>
    </row>
    <row r="122" spans="1:9" ht="25.5">
      <c r="A122" s="222">
        <v>44397</v>
      </c>
      <c r="B122" s="204" t="s">
        <v>473</v>
      </c>
      <c r="C122" s="202">
        <v>2.86</v>
      </c>
      <c r="D122" s="2061" t="s">
        <v>474</v>
      </c>
      <c r="E122" s="2062"/>
      <c r="F122" s="148" t="s">
        <v>2335</v>
      </c>
    </row>
    <row r="123" spans="1:9" ht="25.5">
      <c r="A123" s="222">
        <v>44386</v>
      </c>
      <c r="B123" s="204" t="s">
        <v>2340</v>
      </c>
      <c r="C123" s="202">
        <v>3.63</v>
      </c>
      <c r="D123" s="2061" t="s">
        <v>2341</v>
      </c>
      <c r="E123" s="2062"/>
      <c r="F123" s="148" t="s">
        <v>2342</v>
      </c>
    </row>
    <row r="124" spans="1:9" ht="15.75" thickBot="1">
      <c r="A124" s="149"/>
      <c r="B124" s="312" t="s">
        <v>63</v>
      </c>
      <c r="C124" s="150">
        <f>MEDIAN(C121:C123)</f>
        <v>3.63</v>
      </c>
      <c r="D124" s="2079"/>
      <c r="E124" s="2080"/>
      <c r="F124" s="151"/>
    </row>
    <row r="125" spans="1:9" ht="15.75" thickBot="1"/>
    <row r="126" spans="1:9" ht="15.75" thickBot="1">
      <c r="A126" s="467" t="s">
        <v>486</v>
      </c>
      <c r="B126" s="468" t="s">
        <v>1105</v>
      </c>
      <c r="C126" s="188" t="s">
        <v>57</v>
      </c>
      <c r="D126" s="219"/>
      <c r="E126" s="219"/>
      <c r="F126" s="220"/>
      <c r="H126" s="414"/>
    </row>
    <row r="127" spans="1:9">
      <c r="A127" s="2139" t="s">
        <v>485</v>
      </c>
      <c r="B127" s="2140"/>
      <c r="C127" s="2140"/>
      <c r="D127" s="2140"/>
      <c r="E127" s="2140"/>
      <c r="F127" s="2141"/>
      <c r="I127" s="473"/>
    </row>
    <row r="128" spans="1:9" ht="30">
      <c r="A128" s="80"/>
      <c r="B128" s="81" t="s">
        <v>50</v>
      </c>
      <c r="C128" s="82" t="s">
        <v>51</v>
      </c>
      <c r="D128" s="83" t="s">
        <v>52</v>
      </c>
      <c r="E128" s="84" t="s">
        <v>53</v>
      </c>
      <c r="F128" s="85" t="s">
        <v>54</v>
      </c>
    </row>
    <row r="129" spans="1:10">
      <c r="A129" s="361">
        <v>88264</v>
      </c>
      <c r="B129" s="103" t="s">
        <v>94</v>
      </c>
      <c r="C129" s="99" t="s">
        <v>59</v>
      </c>
      <c r="D129" s="143">
        <v>0.5</v>
      </c>
      <c r="E129" s="223">
        <v>20.6</v>
      </c>
      <c r="F129" s="88">
        <f>TRUNC(D129*E129,2)</f>
        <v>10.3</v>
      </c>
    </row>
    <row r="130" spans="1:10" ht="25.5">
      <c r="A130" s="145">
        <v>88247</v>
      </c>
      <c r="B130" s="103" t="s">
        <v>93</v>
      </c>
      <c r="C130" s="99" t="s">
        <v>59</v>
      </c>
      <c r="D130" s="143">
        <v>0.5</v>
      </c>
      <c r="E130" s="1610">
        <v>15.61</v>
      </c>
      <c r="F130" s="88">
        <f>TRUNC(D130*E130,2)</f>
        <v>7.8</v>
      </c>
    </row>
    <row r="131" spans="1:10">
      <c r="A131" s="803"/>
      <c r="B131" s="218"/>
      <c r="C131" s="89"/>
      <c r="D131" s="90"/>
      <c r="E131" s="1611" t="s">
        <v>60</v>
      </c>
      <c r="F131" s="91">
        <f>SUM(F129:F130)</f>
        <v>18.100000000000001</v>
      </c>
    </row>
    <row r="132" spans="1:10" ht="30">
      <c r="A132" s="97"/>
      <c r="B132" s="1593" t="s">
        <v>95</v>
      </c>
      <c r="C132" s="94" t="s">
        <v>51</v>
      </c>
      <c r="D132" s="95" t="s">
        <v>52</v>
      </c>
      <c r="E132" s="107" t="s">
        <v>64</v>
      </c>
      <c r="F132" s="96" t="s">
        <v>54</v>
      </c>
    </row>
    <row r="133" spans="1:10">
      <c r="A133" s="145" t="s">
        <v>67</v>
      </c>
      <c r="B133" s="204" t="s">
        <v>1105</v>
      </c>
      <c r="C133" s="99" t="s">
        <v>57</v>
      </c>
      <c r="D133" s="108">
        <v>1</v>
      </c>
      <c r="E133" s="1612">
        <v>587.05999999999995</v>
      </c>
      <c r="F133" s="88">
        <f>TRUNC(D133*E133,2)</f>
        <v>587.05999999999995</v>
      </c>
    </row>
    <row r="134" spans="1:10" ht="15.75" thickBot="1">
      <c r="A134" s="1614"/>
      <c r="B134" s="1615"/>
      <c r="C134" s="1616"/>
      <c r="D134" s="1617"/>
      <c r="E134" s="1611" t="s">
        <v>60</v>
      </c>
      <c r="F134" s="1618">
        <f>SUM(F133:F133)</f>
        <v>587.05999999999995</v>
      </c>
    </row>
    <row r="135" spans="1:10" ht="15.75" thickBot="1">
      <c r="A135" s="193"/>
      <c r="B135" s="2142" t="s">
        <v>55</v>
      </c>
      <c r="C135" s="2143"/>
      <c r="D135" s="2143"/>
      <c r="E135" s="2144"/>
      <c r="F135" s="196">
        <f>F131+F134</f>
        <v>605.16</v>
      </c>
    </row>
    <row r="136" spans="1:10">
      <c r="A136" s="194"/>
      <c r="B136" s="2145" t="s">
        <v>96</v>
      </c>
      <c r="C136" s="2146"/>
      <c r="D136" s="2146"/>
      <c r="E136" s="2147"/>
      <c r="F136" s="195"/>
    </row>
    <row r="137" spans="1:10" ht="25.5">
      <c r="A137" s="163" t="s">
        <v>61</v>
      </c>
      <c r="B137" s="107" t="s">
        <v>97</v>
      </c>
      <c r="C137" s="294" t="s">
        <v>98</v>
      </c>
      <c r="D137" s="2148" t="s">
        <v>62</v>
      </c>
      <c r="E137" s="2149"/>
      <c r="F137" s="164" t="s">
        <v>99</v>
      </c>
    </row>
    <row r="138" spans="1:10" ht="25.5">
      <c r="A138" s="222">
        <v>44397</v>
      </c>
      <c r="B138" s="204" t="s">
        <v>473</v>
      </c>
      <c r="C138" s="202">
        <v>587.05999999999995</v>
      </c>
      <c r="D138" s="2061" t="s">
        <v>474</v>
      </c>
      <c r="E138" s="2062"/>
      <c r="F138" s="148" t="s">
        <v>2335</v>
      </c>
    </row>
    <row r="139" spans="1:10">
      <c r="A139" s="222">
        <v>44403</v>
      </c>
      <c r="B139" s="204" t="s">
        <v>2353</v>
      </c>
      <c r="C139" s="202">
        <v>573.04999999999995</v>
      </c>
      <c r="D139" s="2061" t="s">
        <v>2354</v>
      </c>
      <c r="E139" s="2062"/>
      <c r="F139" s="1575" t="s">
        <v>2355</v>
      </c>
      <c r="I139" s="935" t="s">
        <v>2356</v>
      </c>
      <c r="J139" s="568">
        <f>373.71+199.34</f>
        <v>573.04999999999995</v>
      </c>
    </row>
    <row r="140" spans="1:10" ht="30">
      <c r="A140" s="222">
        <v>44403</v>
      </c>
      <c r="B140" s="204" t="s">
        <v>2357</v>
      </c>
      <c r="C140" s="202">
        <v>591.04</v>
      </c>
      <c r="D140" s="2061" t="s">
        <v>2358</v>
      </c>
      <c r="E140" s="2062"/>
      <c r="F140" s="1575" t="s">
        <v>2359</v>
      </c>
      <c r="I140" s="935" t="s">
        <v>2360</v>
      </c>
      <c r="J140" s="321">
        <f>505.31+85.73</f>
        <v>591.04</v>
      </c>
    </row>
    <row r="141" spans="1:10" ht="15.75" thickBot="1">
      <c r="A141" s="149"/>
      <c r="B141" s="312" t="s">
        <v>63</v>
      </c>
      <c r="C141" s="150">
        <f>MEDIAN(C138:C140)</f>
        <v>587.05999999999995</v>
      </c>
      <c r="D141" s="2079"/>
      <c r="E141" s="2080"/>
      <c r="F141" s="151"/>
    </row>
    <row r="142" spans="1:10" ht="15.75" thickBot="1"/>
    <row r="143" spans="1:10" ht="26.25" thickBot="1">
      <c r="A143" s="467" t="s">
        <v>490</v>
      </c>
      <c r="B143" s="468" t="s">
        <v>2361</v>
      </c>
      <c r="C143" s="188" t="s">
        <v>57</v>
      </c>
      <c r="D143" s="219"/>
      <c r="E143" s="219"/>
      <c r="F143" s="220"/>
    </row>
    <row r="144" spans="1:10" ht="15" customHeight="1">
      <c r="A144" s="2139" t="s">
        <v>2362</v>
      </c>
      <c r="B144" s="2140"/>
      <c r="C144" s="2140"/>
      <c r="D144" s="2140"/>
      <c r="E144" s="2140"/>
      <c r="F144" s="2141"/>
    </row>
    <row r="145" spans="1:9" ht="30">
      <c r="A145" s="80"/>
      <c r="B145" s="81" t="s">
        <v>50</v>
      </c>
      <c r="C145" s="82" t="s">
        <v>51</v>
      </c>
      <c r="D145" s="83" t="s">
        <v>52</v>
      </c>
      <c r="E145" s="84" t="s">
        <v>53</v>
      </c>
      <c r="F145" s="85" t="s">
        <v>54</v>
      </c>
    </row>
    <row r="146" spans="1:9">
      <c r="A146" s="361">
        <v>88264</v>
      </c>
      <c r="B146" s="103" t="s">
        <v>94</v>
      </c>
      <c r="C146" s="99" t="s">
        <v>59</v>
      </c>
      <c r="D146" s="143">
        <v>0.2</v>
      </c>
      <c r="E146" s="223">
        <v>20.6</v>
      </c>
      <c r="F146" s="88">
        <f>TRUNC(D146*E146,2)</f>
        <v>4.12</v>
      </c>
    </row>
    <row r="147" spans="1:9" ht="25.5">
      <c r="A147" s="145">
        <v>88247</v>
      </c>
      <c r="B147" s="103" t="s">
        <v>93</v>
      </c>
      <c r="C147" s="99" t="s">
        <v>59</v>
      </c>
      <c r="D147" s="143">
        <v>0.2</v>
      </c>
      <c r="E147" s="1610">
        <v>15.61</v>
      </c>
      <c r="F147" s="88">
        <f>TRUNC(D147*E147,2)</f>
        <v>3.12</v>
      </c>
    </row>
    <row r="148" spans="1:9">
      <c r="A148" s="803"/>
      <c r="B148" s="218"/>
      <c r="C148" s="89"/>
      <c r="D148" s="90"/>
      <c r="E148" s="1611" t="s">
        <v>60</v>
      </c>
      <c r="F148" s="91">
        <f>SUM(F146:F147)</f>
        <v>7.24</v>
      </c>
    </row>
    <row r="149" spans="1:9" ht="30">
      <c r="A149" s="97"/>
      <c r="B149" s="1593" t="s">
        <v>95</v>
      </c>
      <c r="C149" s="94" t="s">
        <v>51</v>
      </c>
      <c r="D149" s="95" t="s">
        <v>52</v>
      </c>
      <c r="E149" s="107" t="s">
        <v>64</v>
      </c>
      <c r="F149" s="96" t="s">
        <v>54</v>
      </c>
    </row>
    <row r="150" spans="1:9">
      <c r="A150" s="145" t="s">
        <v>67</v>
      </c>
      <c r="B150" s="204" t="s">
        <v>2363</v>
      </c>
      <c r="C150" s="99" t="s">
        <v>57</v>
      </c>
      <c r="D150" s="108">
        <v>1</v>
      </c>
      <c r="E150" s="1612">
        <v>213.29</v>
      </c>
      <c r="F150" s="88">
        <f>TRUNC(D150*E150,2)</f>
        <v>213.29</v>
      </c>
    </row>
    <row r="151" spans="1:9">
      <c r="A151" s="1017">
        <v>4374</v>
      </c>
      <c r="B151" s="1572" t="s">
        <v>2364</v>
      </c>
      <c r="C151" s="99" t="s">
        <v>57</v>
      </c>
      <c r="D151" s="1613">
        <v>2</v>
      </c>
      <c r="E151" s="1612">
        <v>0.4</v>
      </c>
      <c r="F151" s="88">
        <f t="shared" ref="F151:F153" si="0">TRUNC(D151*E151,2)</f>
        <v>0.8</v>
      </c>
    </row>
    <row r="152" spans="1:9">
      <c r="A152" s="145" t="s">
        <v>67</v>
      </c>
      <c r="B152" s="1572" t="s">
        <v>2365</v>
      </c>
      <c r="C152" s="99" t="s">
        <v>57</v>
      </c>
      <c r="D152" s="108">
        <v>1</v>
      </c>
      <c r="E152" s="1612">
        <v>55.96</v>
      </c>
      <c r="F152" s="88">
        <f t="shared" si="0"/>
        <v>55.96</v>
      </c>
    </row>
    <row r="153" spans="1:9">
      <c r="A153" s="145" t="s">
        <v>67</v>
      </c>
      <c r="B153" s="1572" t="s">
        <v>2366</v>
      </c>
      <c r="C153" s="99" t="s">
        <v>57</v>
      </c>
      <c r="D153" s="108">
        <v>1</v>
      </c>
      <c r="E153" s="1612">
        <v>40.520000000000003</v>
      </c>
      <c r="F153" s="88">
        <f t="shared" si="0"/>
        <v>40.520000000000003</v>
      </c>
    </row>
    <row r="154" spans="1:9" ht="15.75" thickBot="1">
      <c r="A154" s="1614"/>
      <c r="B154" s="1615"/>
      <c r="C154" s="1616"/>
      <c r="D154" s="1617"/>
      <c r="E154" s="1611" t="s">
        <v>60</v>
      </c>
      <c r="F154" s="1618">
        <f>SUM(F150:F153)</f>
        <v>310.57</v>
      </c>
    </row>
    <row r="155" spans="1:9" ht="15.75" thickBot="1">
      <c r="A155" s="193"/>
      <c r="B155" s="2142" t="s">
        <v>55</v>
      </c>
      <c r="C155" s="2143"/>
      <c r="D155" s="2143"/>
      <c r="E155" s="2144"/>
      <c r="F155" s="196">
        <f>F148+F154</f>
        <v>317.81</v>
      </c>
    </row>
    <row r="156" spans="1:9">
      <c r="A156" s="194"/>
      <c r="B156" s="2145" t="s">
        <v>2367</v>
      </c>
      <c r="C156" s="2146"/>
      <c r="D156" s="2146"/>
      <c r="E156" s="2147"/>
      <c r="F156" s="195"/>
    </row>
    <row r="157" spans="1:9" ht="25.5">
      <c r="A157" s="163" t="s">
        <v>61</v>
      </c>
      <c r="B157" s="107" t="s">
        <v>97</v>
      </c>
      <c r="C157" s="294" t="s">
        <v>98</v>
      </c>
      <c r="D157" s="2148" t="s">
        <v>62</v>
      </c>
      <c r="E157" s="2149"/>
      <c r="F157" s="164" t="s">
        <v>99</v>
      </c>
    </row>
    <row r="158" spans="1:9" ht="25.5">
      <c r="A158" s="222">
        <v>44397</v>
      </c>
      <c r="B158" s="204" t="s">
        <v>473</v>
      </c>
      <c r="C158" s="202">
        <v>219.53</v>
      </c>
      <c r="D158" s="2061" t="s">
        <v>474</v>
      </c>
      <c r="E158" s="2062"/>
      <c r="F158" s="148" t="s">
        <v>2335</v>
      </c>
    </row>
    <row r="159" spans="1:9">
      <c r="A159" s="222">
        <v>44405</v>
      </c>
      <c r="B159" s="204" t="s">
        <v>2465</v>
      </c>
      <c r="C159" s="202">
        <v>151.88999999999999</v>
      </c>
      <c r="D159" s="2061" t="s">
        <v>2466</v>
      </c>
      <c r="E159" s="2062"/>
      <c r="F159" s="148" t="s">
        <v>2437</v>
      </c>
      <c r="I159" t="s">
        <v>2467</v>
      </c>
    </row>
    <row r="160" spans="1:9" ht="25.5">
      <c r="A160" s="222">
        <v>44405</v>
      </c>
      <c r="B160" s="204" t="s">
        <v>2468</v>
      </c>
      <c r="C160" s="202">
        <v>213.29</v>
      </c>
      <c r="D160" s="2061" t="s">
        <v>2420</v>
      </c>
      <c r="E160" s="2062"/>
      <c r="F160" s="148" t="s">
        <v>2469</v>
      </c>
      <c r="I160" t="s">
        <v>2470</v>
      </c>
    </row>
    <row r="161" spans="1:10" ht="15.75" thickBot="1">
      <c r="A161" s="149"/>
      <c r="B161" s="312" t="s">
        <v>63</v>
      </c>
      <c r="C161" s="150">
        <f>MEDIAN(C158:C160)</f>
        <v>213.29</v>
      </c>
      <c r="D161" s="2079"/>
      <c r="E161" s="2080"/>
      <c r="F161" s="151"/>
    </row>
    <row r="162" spans="1:10">
      <c r="A162" s="194"/>
      <c r="B162" s="2145" t="s">
        <v>2368</v>
      </c>
      <c r="C162" s="2146"/>
      <c r="D162" s="2146"/>
      <c r="E162" s="2147"/>
      <c r="F162" s="195"/>
    </row>
    <row r="163" spans="1:10" ht="25.5">
      <c r="A163" s="163" t="s">
        <v>61</v>
      </c>
      <c r="B163" s="107" t="s">
        <v>97</v>
      </c>
      <c r="C163" s="294" t="s">
        <v>98</v>
      </c>
      <c r="D163" s="2148" t="s">
        <v>62</v>
      </c>
      <c r="E163" s="2149"/>
      <c r="F163" s="164" t="s">
        <v>99</v>
      </c>
    </row>
    <row r="164" spans="1:10" ht="25.5">
      <c r="A164" s="222">
        <v>44397</v>
      </c>
      <c r="B164" s="204" t="s">
        <v>2343</v>
      </c>
      <c r="C164" s="202">
        <v>25.72</v>
      </c>
      <c r="D164" s="2061" t="s">
        <v>2344</v>
      </c>
      <c r="E164" s="2062"/>
      <c r="F164" s="148" t="s">
        <v>2345</v>
      </c>
    </row>
    <row r="165" spans="1:10">
      <c r="A165" s="222">
        <v>44411</v>
      </c>
      <c r="B165" s="204" t="s">
        <v>2471</v>
      </c>
      <c r="C165" s="202">
        <v>49.62</v>
      </c>
      <c r="D165" s="2061" t="s">
        <v>2489</v>
      </c>
      <c r="E165" s="2062"/>
      <c r="F165" s="148" t="s">
        <v>2472</v>
      </c>
      <c r="I165" t="s">
        <v>2473</v>
      </c>
      <c r="J165" t="s">
        <v>2474</v>
      </c>
    </row>
    <row r="166" spans="1:10">
      <c r="A166" s="222">
        <v>44411</v>
      </c>
      <c r="B166" s="204" t="s">
        <v>2475</v>
      </c>
      <c r="C166" s="202">
        <v>40.520000000000003</v>
      </c>
      <c r="D166" s="2061" t="s">
        <v>2490</v>
      </c>
      <c r="E166" s="2062"/>
      <c r="F166" s="148" t="s">
        <v>2476</v>
      </c>
      <c r="I166" t="s">
        <v>2477</v>
      </c>
    </row>
    <row r="167" spans="1:10" ht="15.75" thickBot="1">
      <c r="A167" s="149"/>
      <c r="B167" s="312" t="s">
        <v>63</v>
      </c>
      <c r="C167" s="150">
        <f>MEDIAN(C164:C166)</f>
        <v>40.520000000000003</v>
      </c>
      <c r="D167" s="2079"/>
      <c r="E167" s="2080"/>
      <c r="F167" s="151"/>
    </row>
    <row r="168" spans="1:10">
      <c r="A168" s="479"/>
      <c r="B168" s="2145" t="s">
        <v>2369</v>
      </c>
      <c r="C168" s="2146"/>
      <c r="D168" s="2146"/>
      <c r="E168" s="2147"/>
      <c r="F168" s="480"/>
    </row>
    <row r="169" spans="1:10" ht="25.5">
      <c r="A169" s="163" t="s">
        <v>61</v>
      </c>
      <c r="B169" s="107" t="s">
        <v>97</v>
      </c>
      <c r="C169" s="294" t="s">
        <v>98</v>
      </c>
      <c r="D169" s="2148" t="s">
        <v>62</v>
      </c>
      <c r="E169" s="2149"/>
      <c r="F169" s="164" t="s">
        <v>99</v>
      </c>
    </row>
    <row r="170" spans="1:10" ht="25.5">
      <c r="A170" s="222">
        <v>44397</v>
      </c>
      <c r="B170" s="204" t="s">
        <v>473</v>
      </c>
      <c r="C170" s="202">
        <v>378.51</v>
      </c>
      <c r="D170" s="2061" t="s">
        <v>474</v>
      </c>
      <c r="E170" s="2062"/>
      <c r="F170" s="148" t="s">
        <v>2335</v>
      </c>
    </row>
    <row r="171" spans="1:10" ht="25.5">
      <c r="A171" s="222">
        <v>44405</v>
      </c>
      <c r="B171" s="204" t="s">
        <v>2478</v>
      </c>
      <c r="C171" s="202">
        <v>55.96</v>
      </c>
      <c r="D171" s="2061" t="s">
        <v>2491</v>
      </c>
      <c r="E171" s="2062"/>
      <c r="F171" s="148" t="s">
        <v>2479</v>
      </c>
      <c r="I171" s="482" t="s">
        <v>2480</v>
      </c>
    </row>
    <row r="172" spans="1:10" ht="25.5">
      <c r="A172" s="222">
        <v>44405</v>
      </c>
      <c r="B172" s="204" t="s">
        <v>2468</v>
      </c>
      <c r="C172" s="202">
        <v>53.2</v>
      </c>
      <c r="D172" s="2061" t="s">
        <v>2420</v>
      </c>
      <c r="E172" s="2062"/>
      <c r="F172" s="148" t="s">
        <v>2469</v>
      </c>
      <c r="I172" s="482" t="s">
        <v>2481</v>
      </c>
    </row>
    <row r="173" spans="1:10" ht="15.75" thickBot="1">
      <c r="A173" s="149"/>
      <c r="B173" s="312" t="s">
        <v>63</v>
      </c>
      <c r="C173" s="150">
        <f>MEDIAN(C170:C172)</f>
        <v>55.96</v>
      </c>
      <c r="D173" s="2079"/>
      <c r="E173" s="2080"/>
      <c r="F173" s="151"/>
    </row>
    <row r="174" spans="1:10" ht="15.75" thickBot="1">
      <c r="A174" s="135"/>
      <c r="B174" s="46"/>
      <c r="C174" s="46"/>
      <c r="D174" s="46"/>
      <c r="E174" s="46"/>
      <c r="F174" s="136"/>
    </row>
    <row r="175" spans="1:10" ht="15.75" thickBot="1">
      <c r="A175" s="467" t="s">
        <v>493</v>
      </c>
      <c r="B175" s="417" t="s">
        <v>1132</v>
      </c>
      <c r="C175" s="188" t="s">
        <v>57</v>
      </c>
      <c r="D175" s="219"/>
      <c r="E175" s="219"/>
      <c r="F175" s="220"/>
    </row>
    <row r="176" spans="1:10" ht="15" customHeight="1">
      <c r="A176" s="2139" t="s">
        <v>2417</v>
      </c>
      <c r="B176" s="2140"/>
      <c r="C176" s="2140"/>
      <c r="D176" s="2140"/>
      <c r="E176" s="2140"/>
      <c r="F176" s="2141"/>
    </row>
    <row r="177" spans="1:9" ht="30">
      <c r="A177" s="80"/>
      <c r="B177" s="81" t="s">
        <v>50</v>
      </c>
      <c r="C177" s="82" t="s">
        <v>51</v>
      </c>
      <c r="D177" s="83" t="s">
        <v>52</v>
      </c>
      <c r="E177" s="84" t="s">
        <v>53</v>
      </c>
      <c r="F177" s="85" t="s">
        <v>54</v>
      </c>
    </row>
    <row r="178" spans="1:9">
      <c r="A178" s="361">
        <v>88264</v>
      </c>
      <c r="B178" s="103" t="s">
        <v>94</v>
      </c>
      <c r="C178" s="99" t="s">
        <v>59</v>
      </c>
      <c r="D178" s="143">
        <v>0.2</v>
      </c>
      <c r="E178" s="223">
        <v>20.6</v>
      </c>
      <c r="F178" s="88">
        <f>TRUNC(D178*E178,2)</f>
        <v>4.12</v>
      </c>
    </row>
    <row r="179" spans="1:9" ht="25.5">
      <c r="A179" s="145">
        <v>88247</v>
      </c>
      <c r="B179" s="103" t="s">
        <v>93</v>
      </c>
      <c r="C179" s="99" t="s">
        <v>59</v>
      </c>
      <c r="D179" s="143">
        <v>0.2</v>
      </c>
      <c r="E179" s="1610">
        <v>15.61</v>
      </c>
      <c r="F179" s="88">
        <f>TRUNC(D179*E179,2)</f>
        <v>3.12</v>
      </c>
    </row>
    <row r="180" spans="1:9">
      <c r="A180" s="803"/>
      <c r="B180" s="218"/>
      <c r="C180" s="89"/>
      <c r="D180" s="90"/>
      <c r="E180" s="1611" t="s">
        <v>60</v>
      </c>
      <c r="F180" s="91">
        <f>SUM(F178:F179)</f>
        <v>7.24</v>
      </c>
    </row>
    <row r="181" spans="1:9" ht="30">
      <c r="A181" s="97"/>
      <c r="B181" s="1593" t="s">
        <v>95</v>
      </c>
      <c r="C181" s="94" t="s">
        <v>51</v>
      </c>
      <c r="D181" s="95" t="s">
        <v>52</v>
      </c>
      <c r="E181" s="107" t="s">
        <v>64</v>
      </c>
      <c r="F181" s="96" t="s">
        <v>54</v>
      </c>
    </row>
    <row r="182" spans="1:9">
      <c r="A182" s="145" t="s">
        <v>67</v>
      </c>
      <c r="B182" s="204" t="s">
        <v>2418</v>
      </c>
      <c r="C182" s="99" t="s">
        <v>57</v>
      </c>
      <c r="D182" s="108">
        <v>1</v>
      </c>
      <c r="E182" s="1612">
        <v>201.69</v>
      </c>
      <c r="F182" s="88">
        <f>TRUNC(D182*E182,2)</f>
        <v>201.69</v>
      </c>
    </row>
    <row r="183" spans="1:9" ht="15.75" thickBot="1">
      <c r="A183" s="1614"/>
      <c r="B183" s="1615"/>
      <c r="C183" s="1616"/>
      <c r="D183" s="1617"/>
      <c r="E183" s="1611" t="s">
        <v>60</v>
      </c>
      <c r="F183" s="1618">
        <f>SUM(F182:F182)</f>
        <v>201.69</v>
      </c>
    </row>
    <row r="184" spans="1:9" ht="15.75" thickBot="1">
      <c r="A184" s="193"/>
      <c r="B184" s="2142" t="s">
        <v>55</v>
      </c>
      <c r="C184" s="2143"/>
      <c r="D184" s="2143"/>
      <c r="E184" s="2144"/>
      <c r="F184" s="196">
        <f>F180+F183</f>
        <v>208.93</v>
      </c>
    </row>
    <row r="185" spans="1:9">
      <c r="A185" s="194"/>
      <c r="B185" s="2145" t="s">
        <v>96</v>
      </c>
      <c r="C185" s="2146"/>
      <c r="D185" s="2146"/>
      <c r="E185" s="2147"/>
      <c r="F185" s="195"/>
    </row>
    <row r="186" spans="1:9" ht="25.5">
      <c r="A186" s="163" t="s">
        <v>61</v>
      </c>
      <c r="B186" s="107" t="s">
        <v>97</v>
      </c>
      <c r="C186" s="294" t="s">
        <v>98</v>
      </c>
      <c r="D186" s="2148" t="s">
        <v>62</v>
      </c>
      <c r="E186" s="2149"/>
      <c r="F186" s="164" t="s">
        <v>99</v>
      </c>
    </row>
    <row r="187" spans="1:9" ht="25.5">
      <c r="A187" s="222">
        <v>44404</v>
      </c>
      <c r="B187" s="204" t="s">
        <v>2419</v>
      </c>
      <c r="C187" s="202">
        <v>251.04</v>
      </c>
      <c r="D187" s="2061" t="s">
        <v>2420</v>
      </c>
      <c r="E187" s="2062"/>
      <c r="F187" s="148" t="s">
        <v>2421</v>
      </c>
      <c r="H187" s="321">
        <f>228.94+22.1</f>
        <v>251.04</v>
      </c>
      <c r="I187" s="935" t="s">
        <v>2422</v>
      </c>
    </row>
    <row r="188" spans="1:9" ht="30">
      <c r="A188" s="222">
        <v>44412</v>
      </c>
      <c r="B188" s="204" t="s">
        <v>2423</v>
      </c>
      <c r="C188" s="202">
        <v>201.69</v>
      </c>
      <c r="D188" s="2061" t="s">
        <v>2482</v>
      </c>
      <c r="E188" s="2062"/>
      <c r="F188" s="1575" t="s">
        <v>2483</v>
      </c>
      <c r="H188" s="568">
        <f>187.39+14.3</f>
        <v>201.69</v>
      </c>
      <c r="I188" s="935" t="s">
        <v>2484</v>
      </c>
    </row>
    <row r="189" spans="1:9">
      <c r="A189" s="222">
        <v>44412</v>
      </c>
      <c r="B189" s="1572" t="s">
        <v>2485</v>
      </c>
      <c r="C189" s="1573">
        <v>33.24</v>
      </c>
      <c r="D189" s="2061" t="s">
        <v>2486</v>
      </c>
      <c r="E189" s="2062"/>
      <c r="F189" s="1659" t="s">
        <v>2487</v>
      </c>
      <c r="H189" s="568">
        <f>13.91+19.33</f>
        <v>33.239999999999995</v>
      </c>
      <c r="I189" s="935" t="s">
        <v>2488</v>
      </c>
    </row>
    <row r="190" spans="1:9" ht="15.75" thickBot="1">
      <c r="A190" s="149"/>
      <c r="B190" s="312" t="s">
        <v>63</v>
      </c>
      <c r="C190" s="150">
        <f>MEDIAN(C187:C189)</f>
        <v>201.69</v>
      </c>
      <c r="D190" s="2079"/>
      <c r="E190" s="2080"/>
      <c r="F190" s="151"/>
    </row>
    <row r="191" spans="1:9" ht="15.75" thickBot="1"/>
    <row r="192" spans="1:9" ht="15.75" thickBot="1">
      <c r="A192" s="467" t="s">
        <v>1121</v>
      </c>
      <c r="B192" s="468" t="s">
        <v>1133</v>
      </c>
      <c r="C192" s="188" t="s">
        <v>57</v>
      </c>
      <c r="D192" s="219"/>
      <c r="E192" s="219"/>
      <c r="F192" s="220"/>
    </row>
    <row r="193" spans="1:8" ht="15" customHeight="1">
      <c r="A193" s="2139" t="s">
        <v>485</v>
      </c>
      <c r="B193" s="2140"/>
      <c r="C193" s="2140"/>
      <c r="D193" s="2140"/>
      <c r="E193" s="2140"/>
      <c r="F193" s="2141"/>
      <c r="H193" s="469" t="s">
        <v>412</v>
      </c>
    </row>
    <row r="194" spans="1:8" ht="30">
      <c r="A194" s="80"/>
      <c r="B194" s="81" t="s">
        <v>50</v>
      </c>
      <c r="C194" s="82" t="s">
        <v>51</v>
      </c>
      <c r="D194" s="83" t="s">
        <v>52</v>
      </c>
      <c r="E194" s="84" t="s">
        <v>53</v>
      </c>
      <c r="F194" s="85" t="s">
        <v>54</v>
      </c>
    </row>
    <row r="195" spans="1:8">
      <c r="A195" s="361">
        <v>88264</v>
      </c>
      <c r="B195" s="103" t="s">
        <v>94</v>
      </c>
      <c r="C195" s="99" t="s">
        <v>59</v>
      </c>
      <c r="D195" s="143">
        <v>0.2</v>
      </c>
      <c r="E195" s="223">
        <v>20.6</v>
      </c>
      <c r="F195" s="88">
        <f>TRUNC(D195*E195,2)</f>
        <v>4.12</v>
      </c>
    </row>
    <row r="196" spans="1:8" ht="25.5">
      <c r="A196" s="145">
        <v>88247</v>
      </c>
      <c r="B196" s="103" t="s">
        <v>93</v>
      </c>
      <c r="C196" s="99" t="s">
        <v>59</v>
      </c>
      <c r="D196" s="143">
        <v>0.2</v>
      </c>
      <c r="E196" s="1610">
        <v>15.61</v>
      </c>
      <c r="F196" s="88">
        <f>TRUNC(D196*E196,2)</f>
        <v>3.12</v>
      </c>
    </row>
    <row r="197" spans="1:8">
      <c r="A197" s="803"/>
      <c r="B197" s="218"/>
      <c r="C197" s="89"/>
      <c r="D197" s="90"/>
      <c r="E197" s="1611" t="s">
        <v>60</v>
      </c>
      <c r="F197" s="91">
        <f>SUM(F195:F196)</f>
        <v>7.24</v>
      </c>
    </row>
    <row r="198" spans="1:8" ht="30">
      <c r="A198" s="97"/>
      <c r="B198" s="1593" t="s">
        <v>95</v>
      </c>
      <c r="C198" s="94" t="s">
        <v>51</v>
      </c>
      <c r="D198" s="95" t="s">
        <v>52</v>
      </c>
      <c r="E198" s="107" t="s">
        <v>64</v>
      </c>
      <c r="F198" s="96" t="s">
        <v>54</v>
      </c>
    </row>
    <row r="199" spans="1:8">
      <c r="A199" s="145" t="s">
        <v>67</v>
      </c>
      <c r="B199" s="204" t="s">
        <v>1133</v>
      </c>
      <c r="C199" s="99" t="s">
        <v>57</v>
      </c>
      <c r="D199" s="108">
        <v>1</v>
      </c>
      <c r="E199" s="1612">
        <v>14.69</v>
      </c>
      <c r="F199" s="88">
        <f>TRUNC(D199*E199,2)</f>
        <v>14.69</v>
      </c>
    </row>
    <row r="200" spans="1:8" ht="15.75" thickBot="1">
      <c r="A200" s="1614"/>
      <c r="B200" s="1615"/>
      <c r="C200" s="1616"/>
      <c r="D200" s="1617"/>
      <c r="E200" s="1611" t="s">
        <v>60</v>
      </c>
      <c r="F200" s="1618">
        <f>SUM(F199:F199)</f>
        <v>14.69</v>
      </c>
    </row>
    <row r="201" spans="1:8" ht="15.75" thickBot="1">
      <c r="A201" s="193"/>
      <c r="B201" s="2142" t="s">
        <v>55</v>
      </c>
      <c r="C201" s="2143"/>
      <c r="D201" s="2143"/>
      <c r="E201" s="2144"/>
      <c r="F201" s="196">
        <f>F197+F200</f>
        <v>21.93</v>
      </c>
    </row>
    <row r="202" spans="1:8">
      <c r="A202" s="194"/>
      <c r="B202" s="2145" t="s">
        <v>96</v>
      </c>
      <c r="C202" s="2146"/>
      <c r="D202" s="2146"/>
      <c r="E202" s="2147"/>
      <c r="F202" s="195"/>
    </row>
    <row r="203" spans="1:8" ht="25.5">
      <c r="A203" s="163" t="s">
        <v>61</v>
      </c>
      <c r="B203" s="107" t="s">
        <v>97</v>
      </c>
      <c r="C203" s="294" t="s">
        <v>98</v>
      </c>
      <c r="D203" s="2148" t="s">
        <v>62</v>
      </c>
      <c r="E203" s="2149"/>
      <c r="F203" s="164" t="s">
        <v>99</v>
      </c>
    </row>
    <row r="204" spans="1:8" ht="25.5">
      <c r="A204" s="222">
        <v>44386</v>
      </c>
      <c r="B204" s="204" t="s">
        <v>2340</v>
      </c>
      <c r="C204" s="202">
        <v>14.69</v>
      </c>
      <c r="D204" s="2061" t="s">
        <v>2341</v>
      </c>
      <c r="E204" s="2062"/>
      <c r="F204" s="148" t="s">
        <v>2342</v>
      </c>
    </row>
    <row r="205" spans="1:8" ht="25.5">
      <c r="A205" s="222">
        <v>44397</v>
      </c>
      <c r="B205" s="204" t="s">
        <v>2343</v>
      </c>
      <c r="C205" s="202">
        <v>11.57</v>
      </c>
      <c r="D205" s="2061" t="s">
        <v>2344</v>
      </c>
      <c r="E205" s="2062"/>
      <c r="F205" s="148" t="s">
        <v>2345</v>
      </c>
    </row>
    <row r="206" spans="1:8" ht="25.5">
      <c r="A206" s="222">
        <v>44397</v>
      </c>
      <c r="B206" s="204" t="s">
        <v>473</v>
      </c>
      <c r="C206" s="202">
        <v>22.8</v>
      </c>
      <c r="D206" s="2061" t="s">
        <v>474</v>
      </c>
      <c r="E206" s="2062"/>
      <c r="F206" s="148" t="s">
        <v>2335</v>
      </c>
    </row>
    <row r="207" spans="1:8" ht="15.75" thickBot="1">
      <c r="A207" s="149"/>
      <c r="B207" s="312" t="s">
        <v>63</v>
      </c>
      <c r="C207" s="150">
        <f>MEDIAN(C204:C206)</f>
        <v>14.69</v>
      </c>
      <c r="D207" s="2079"/>
      <c r="E207" s="2080"/>
      <c r="F207" s="151"/>
    </row>
    <row r="208" spans="1:8" ht="15.75" thickBot="1"/>
    <row r="209" spans="1:14" ht="15.75" thickBot="1">
      <c r="A209" s="467" t="s">
        <v>496</v>
      </c>
      <c r="B209" s="468" t="s">
        <v>1134</v>
      </c>
      <c r="C209" s="188" t="s">
        <v>57</v>
      </c>
      <c r="D209" s="219"/>
      <c r="E209" s="219"/>
      <c r="F209" s="220"/>
    </row>
    <row r="210" spans="1:14">
      <c r="A210" s="2139" t="s">
        <v>1184</v>
      </c>
      <c r="B210" s="2140"/>
      <c r="C210" s="2140"/>
      <c r="D210" s="2140"/>
      <c r="E210" s="2140"/>
      <c r="F210" s="2141"/>
      <c r="I210" s="884"/>
      <c r="J210" s="884"/>
      <c r="K210" s="884"/>
      <c r="L210" s="884"/>
      <c r="M210" s="884"/>
      <c r="N210" s="884"/>
    </row>
    <row r="211" spans="1:14" ht="30">
      <c r="A211" s="80"/>
      <c r="B211" s="81" t="s">
        <v>50</v>
      </c>
      <c r="C211" s="82" t="s">
        <v>51</v>
      </c>
      <c r="D211" s="83" t="s">
        <v>52</v>
      </c>
      <c r="E211" s="84" t="s">
        <v>53</v>
      </c>
      <c r="F211" s="85" t="s">
        <v>54</v>
      </c>
    </row>
    <row r="212" spans="1:14">
      <c r="A212" s="361">
        <v>88264</v>
      </c>
      <c r="B212" s="103" t="s">
        <v>94</v>
      </c>
      <c r="C212" s="99" t="s">
        <v>59</v>
      </c>
      <c r="D212" s="143">
        <v>0.05</v>
      </c>
      <c r="E212" s="223">
        <v>20.6</v>
      </c>
      <c r="F212" s="88">
        <f>TRUNC(D212*E212,2)</f>
        <v>1.03</v>
      </c>
    </row>
    <row r="213" spans="1:14" ht="25.5">
      <c r="A213" s="145">
        <v>88247</v>
      </c>
      <c r="B213" s="103" t="s">
        <v>93</v>
      </c>
      <c r="C213" s="99" t="s">
        <v>59</v>
      </c>
      <c r="D213" s="143">
        <v>2.5000000000000001E-2</v>
      </c>
      <c r="E213" s="1610">
        <v>15.61</v>
      </c>
      <c r="F213" s="88">
        <f>TRUNC(D213*E213,2)</f>
        <v>0.39</v>
      </c>
    </row>
    <row r="214" spans="1:14">
      <c r="A214" s="803"/>
      <c r="B214" s="218"/>
      <c r="C214" s="89"/>
      <c r="D214" s="90"/>
      <c r="E214" s="1611" t="s">
        <v>60</v>
      </c>
      <c r="F214" s="91">
        <f>SUM(F212:F213)</f>
        <v>1.42</v>
      </c>
    </row>
    <row r="215" spans="1:14" ht="30">
      <c r="A215" s="97"/>
      <c r="B215" s="1593" t="s">
        <v>95</v>
      </c>
      <c r="C215" s="94" t="s">
        <v>51</v>
      </c>
      <c r="D215" s="95" t="s">
        <v>52</v>
      </c>
      <c r="E215" s="107" t="s">
        <v>64</v>
      </c>
      <c r="F215" s="96" t="s">
        <v>54</v>
      </c>
    </row>
    <row r="216" spans="1:14" ht="25.5">
      <c r="A216" s="86">
        <v>39128</v>
      </c>
      <c r="B216" s="204" t="s">
        <v>1186</v>
      </c>
      <c r="C216" s="99" t="s">
        <v>57</v>
      </c>
      <c r="D216" s="108">
        <v>1</v>
      </c>
      <c r="E216" s="1612">
        <v>1.74</v>
      </c>
      <c r="F216" s="88">
        <f>TRUNC(D216*E216,2)</f>
        <v>1.74</v>
      </c>
    </row>
    <row r="217" spans="1:14" ht="15.75" thickBot="1">
      <c r="A217" s="1614"/>
      <c r="B217" s="1615"/>
      <c r="C217" s="1616"/>
      <c r="D217" s="1617"/>
      <c r="E217" s="1611" t="s">
        <v>60</v>
      </c>
      <c r="F217" s="1618">
        <f>SUM(F216:F216)</f>
        <v>1.74</v>
      </c>
    </row>
    <row r="218" spans="1:14" ht="15.75" thickBot="1">
      <c r="A218" s="193"/>
      <c r="B218" s="2142" t="s">
        <v>55</v>
      </c>
      <c r="C218" s="2143"/>
      <c r="D218" s="2143"/>
      <c r="E218" s="2144"/>
      <c r="F218" s="196">
        <f>F214+F217</f>
        <v>3.16</v>
      </c>
    </row>
    <row r="219" spans="1:14" ht="15.75" thickBot="1"/>
    <row r="220" spans="1:14" ht="41.25" customHeight="1" thickBot="1">
      <c r="A220" s="467" t="s">
        <v>498</v>
      </c>
      <c r="B220" s="468" t="s">
        <v>2415</v>
      </c>
      <c r="C220" s="188" t="s">
        <v>57</v>
      </c>
      <c r="D220" s="219"/>
      <c r="E220" s="219"/>
      <c r="F220" s="220"/>
    </row>
    <row r="221" spans="1:14" ht="15" customHeight="1">
      <c r="A221" s="2139" t="s">
        <v>1184</v>
      </c>
      <c r="B221" s="2140"/>
      <c r="C221" s="2140"/>
      <c r="D221" s="2140"/>
      <c r="E221" s="2140"/>
      <c r="F221" s="2141"/>
    </row>
    <row r="222" spans="1:14" ht="30">
      <c r="A222" s="80"/>
      <c r="B222" s="81" t="s">
        <v>50</v>
      </c>
      <c r="C222" s="82" t="s">
        <v>51</v>
      </c>
      <c r="D222" s="83" t="s">
        <v>52</v>
      </c>
      <c r="E222" s="84" t="s">
        <v>53</v>
      </c>
      <c r="F222" s="85" t="s">
        <v>54</v>
      </c>
    </row>
    <row r="223" spans="1:14" ht="25.5">
      <c r="A223" s="361">
        <v>95541</v>
      </c>
      <c r="B223" s="204" t="s">
        <v>2413</v>
      </c>
      <c r="C223" s="99" t="s">
        <v>57</v>
      </c>
      <c r="D223" s="143">
        <v>1</v>
      </c>
      <c r="E223" s="223">
        <v>3.56</v>
      </c>
      <c r="F223" s="88">
        <f>TRUNC(D223*E223,2)</f>
        <v>3.56</v>
      </c>
    </row>
    <row r="224" spans="1:14">
      <c r="A224" s="803"/>
      <c r="B224" s="218"/>
      <c r="C224" s="89"/>
      <c r="D224" s="90"/>
      <c r="E224" s="1611" t="s">
        <v>60</v>
      </c>
      <c r="F224" s="91">
        <f>SUM(F223:F223)</f>
        <v>3.56</v>
      </c>
    </row>
    <row r="225" spans="1:8" ht="30">
      <c r="A225" s="97"/>
      <c r="B225" s="1593" t="s">
        <v>95</v>
      </c>
      <c r="C225" s="94" t="s">
        <v>51</v>
      </c>
      <c r="D225" s="95" t="s">
        <v>52</v>
      </c>
      <c r="E225" s="107" t="s">
        <v>64</v>
      </c>
      <c r="F225" s="96" t="s">
        <v>54</v>
      </c>
    </row>
    <row r="226" spans="1:8" ht="38.25">
      <c r="A226" s="86">
        <v>11950</v>
      </c>
      <c r="B226" s="204" t="s">
        <v>2414</v>
      </c>
      <c r="C226" s="99" t="s">
        <v>57</v>
      </c>
      <c r="D226" s="108">
        <v>1</v>
      </c>
      <c r="E226" s="1612">
        <v>0.22</v>
      </c>
      <c r="F226" s="88">
        <f>TRUNC(D226*E226,2)</f>
        <v>0.22</v>
      </c>
    </row>
    <row r="227" spans="1:8" ht="15.75" thickBot="1">
      <c r="A227" s="1645"/>
      <c r="B227" s="1646"/>
      <c r="C227" s="1647"/>
      <c r="D227" s="1648"/>
      <c r="E227" s="1649" t="s">
        <v>60</v>
      </c>
      <c r="F227" s="1650">
        <f>SUM(F226:F226)</f>
        <v>0.22</v>
      </c>
    </row>
    <row r="228" spans="1:8" ht="15.75" thickBot="1">
      <c r="A228" s="193"/>
      <c r="B228" s="2142" t="s">
        <v>55</v>
      </c>
      <c r="C228" s="2143"/>
      <c r="D228" s="2143"/>
      <c r="E228" s="2144"/>
      <c r="F228" s="196">
        <f>F224+F227</f>
        <v>3.7800000000000002</v>
      </c>
    </row>
    <row r="229" spans="1:8" ht="15.75" thickBot="1"/>
    <row r="230" spans="1:8" ht="26.25" thickBot="1">
      <c r="A230" s="484" t="s">
        <v>499</v>
      </c>
      <c r="B230" s="485" t="s">
        <v>1113</v>
      </c>
      <c r="C230" s="486" t="s">
        <v>57</v>
      </c>
      <c r="D230" s="487"/>
      <c r="E230" s="487"/>
      <c r="F230" s="488"/>
      <c r="H230" s="469"/>
    </row>
    <row r="231" spans="1:8">
      <c r="A231" s="2152" t="s">
        <v>500</v>
      </c>
      <c r="B231" s="2153"/>
      <c r="C231" s="2153"/>
      <c r="D231" s="2153"/>
      <c r="E231" s="2153"/>
      <c r="F231" s="2154"/>
    </row>
    <row r="232" spans="1:8" ht="25.5">
      <c r="A232" s="489"/>
      <c r="B232" s="490" t="s">
        <v>50</v>
      </c>
      <c r="C232" s="491" t="s">
        <v>51</v>
      </c>
      <c r="D232" s="492" t="s">
        <v>52</v>
      </c>
      <c r="E232" s="493" t="s">
        <v>53</v>
      </c>
      <c r="F232" s="338" t="s">
        <v>54</v>
      </c>
    </row>
    <row r="233" spans="1:8">
      <c r="A233" s="494">
        <v>88309</v>
      </c>
      <c r="B233" s="996" t="s">
        <v>104</v>
      </c>
      <c r="C233" s="495" t="s">
        <v>59</v>
      </c>
      <c r="D233" s="496">
        <v>2.42</v>
      </c>
      <c r="E233" s="497">
        <v>19.86</v>
      </c>
      <c r="F233" s="498">
        <f>TRUNC(D233*E233,2)</f>
        <v>48.06</v>
      </c>
    </row>
    <row r="234" spans="1:8">
      <c r="A234" s="339">
        <v>88316</v>
      </c>
      <c r="B234" s="398" t="s">
        <v>68</v>
      </c>
      <c r="C234" s="495" t="s">
        <v>59</v>
      </c>
      <c r="D234" s="496">
        <v>4.0999999999999996</v>
      </c>
      <c r="E234" s="1786">
        <v>15.65</v>
      </c>
      <c r="F234" s="498">
        <f>TRUNC(D234*E234,2)</f>
        <v>64.16</v>
      </c>
    </row>
    <row r="235" spans="1:8">
      <c r="A235" s="1787"/>
      <c r="B235" s="499"/>
      <c r="C235" s="500"/>
      <c r="D235" s="501"/>
      <c r="E235" s="1788" t="s">
        <v>60</v>
      </c>
      <c r="F235" s="502">
        <f>SUM(F233:F234)</f>
        <v>112.22</v>
      </c>
    </row>
    <row r="236" spans="1:8" ht="25.5">
      <c r="A236" s="503"/>
      <c r="B236" s="1789" t="s">
        <v>95</v>
      </c>
      <c r="C236" s="505" t="s">
        <v>51</v>
      </c>
      <c r="D236" s="506" t="s">
        <v>52</v>
      </c>
      <c r="E236" s="491" t="s">
        <v>64</v>
      </c>
      <c r="F236" s="507" t="s">
        <v>54</v>
      </c>
    </row>
    <row r="237" spans="1:8" ht="25.5">
      <c r="A237" s="508">
        <v>43059</v>
      </c>
      <c r="B237" s="398" t="s">
        <v>501</v>
      </c>
      <c r="C237" s="495" t="s">
        <v>101</v>
      </c>
      <c r="D237" s="509">
        <v>0.56000000000000005</v>
      </c>
      <c r="E237" s="1786">
        <v>12.02</v>
      </c>
      <c r="F237" s="498">
        <f>TRUNC(D237*E237,2)</f>
        <v>6.73</v>
      </c>
    </row>
    <row r="238" spans="1:8" ht="25.5">
      <c r="A238" s="508">
        <v>367</v>
      </c>
      <c r="B238" s="510" t="s">
        <v>502</v>
      </c>
      <c r="C238" s="1790" t="s">
        <v>49</v>
      </c>
      <c r="D238" s="1791">
        <v>5.0400000000000002E-3</v>
      </c>
      <c r="E238" s="1786">
        <v>76.5</v>
      </c>
      <c r="F238" s="498">
        <f t="shared" ref="F238:F245" si="1">TRUNC(D238*E238,2)</f>
        <v>0.38</v>
      </c>
    </row>
    <row r="239" spans="1:8" ht="25.5">
      <c r="A239" s="508">
        <v>370</v>
      </c>
      <c r="B239" s="510" t="s">
        <v>355</v>
      </c>
      <c r="C239" s="1790" t="s">
        <v>49</v>
      </c>
      <c r="D239" s="1792">
        <v>7.0000000000000007E-2</v>
      </c>
      <c r="E239" s="1786">
        <v>74.17</v>
      </c>
      <c r="F239" s="498">
        <f t="shared" si="1"/>
        <v>5.19</v>
      </c>
    </row>
    <row r="240" spans="1:8">
      <c r="A240" s="508">
        <v>1106</v>
      </c>
      <c r="B240" s="510" t="s">
        <v>503</v>
      </c>
      <c r="C240" s="495" t="s">
        <v>101</v>
      </c>
      <c r="D240" s="1793">
        <v>5.78</v>
      </c>
      <c r="E240" s="1786">
        <v>0.75</v>
      </c>
      <c r="F240" s="498">
        <f t="shared" si="1"/>
        <v>4.33</v>
      </c>
    </row>
    <row r="241" spans="1:9" ht="25.5">
      <c r="A241" s="508">
        <v>1358</v>
      </c>
      <c r="B241" s="510" t="s">
        <v>504</v>
      </c>
      <c r="C241" s="1790" t="s">
        <v>48</v>
      </c>
      <c r="D241" s="1793">
        <v>0.08</v>
      </c>
      <c r="E241" s="1786">
        <v>32.6</v>
      </c>
      <c r="F241" s="498">
        <f t="shared" si="1"/>
        <v>2.6</v>
      </c>
      <c r="I241" s="511"/>
    </row>
    <row r="242" spans="1:9">
      <c r="A242" s="508">
        <v>1379</v>
      </c>
      <c r="B242" s="510" t="s">
        <v>166</v>
      </c>
      <c r="C242" s="495" t="s">
        <v>101</v>
      </c>
      <c r="D242" s="1793">
        <v>16.47</v>
      </c>
      <c r="E242" s="1786">
        <v>0.64</v>
      </c>
      <c r="F242" s="498">
        <f t="shared" si="1"/>
        <v>10.54</v>
      </c>
    </row>
    <row r="243" spans="1:9" ht="25.5">
      <c r="A243" s="508">
        <v>4718</v>
      </c>
      <c r="B243" s="510" t="s">
        <v>356</v>
      </c>
      <c r="C243" s="1790" t="s">
        <v>49</v>
      </c>
      <c r="D243" s="1791">
        <v>5.8399999999999997E-3</v>
      </c>
      <c r="E243" s="1786">
        <v>79.849999999999994</v>
      </c>
      <c r="F243" s="498">
        <f t="shared" si="1"/>
        <v>0.46</v>
      </c>
    </row>
    <row r="244" spans="1:9" ht="25.5">
      <c r="A244" s="508">
        <v>4722</v>
      </c>
      <c r="B244" s="510" t="s">
        <v>505</v>
      </c>
      <c r="C244" s="1790" t="s">
        <v>49</v>
      </c>
      <c r="D244" s="1791">
        <v>5.8399999999999997E-3</v>
      </c>
      <c r="E244" s="1786">
        <v>75.03</v>
      </c>
      <c r="F244" s="498">
        <f t="shared" si="1"/>
        <v>0.43</v>
      </c>
    </row>
    <row r="245" spans="1:9">
      <c r="A245" s="508">
        <v>7258</v>
      </c>
      <c r="B245" s="510" t="s">
        <v>167</v>
      </c>
      <c r="C245" s="1790" t="s">
        <v>57</v>
      </c>
      <c r="D245" s="1793">
        <v>89</v>
      </c>
      <c r="E245" s="1786">
        <v>0.75</v>
      </c>
      <c r="F245" s="498">
        <f t="shared" si="1"/>
        <v>66.75</v>
      </c>
    </row>
    <row r="246" spans="1:9" ht="15.75" thickBot="1">
      <c r="A246" s="512"/>
      <c r="B246" s="1794"/>
      <c r="C246" s="1795"/>
      <c r="D246" s="1796"/>
      <c r="E246" s="1788" t="s">
        <v>60</v>
      </c>
      <c r="F246" s="1797">
        <f>SUM(F237:F245)</f>
        <v>97.41</v>
      </c>
    </row>
    <row r="247" spans="1:9" ht="15.75" thickBot="1">
      <c r="A247" s="514"/>
      <c r="B247" s="2151" t="s">
        <v>55</v>
      </c>
      <c r="C247" s="2151"/>
      <c r="D247" s="2151"/>
      <c r="E247" s="2151"/>
      <c r="F247" s="515">
        <f>F235+F246</f>
        <v>209.63</v>
      </c>
    </row>
    <row r="248" spans="1:9" ht="15.75" thickBot="1"/>
    <row r="249" spans="1:9" ht="26.25" thickBot="1">
      <c r="A249" s="467" t="s">
        <v>506</v>
      </c>
      <c r="B249" s="468" t="s">
        <v>1114</v>
      </c>
      <c r="C249" s="188" t="s">
        <v>57</v>
      </c>
      <c r="D249" s="219"/>
      <c r="E249" s="219"/>
      <c r="F249" s="220"/>
      <c r="H249" s="469" t="s">
        <v>412</v>
      </c>
    </row>
    <row r="250" spans="1:9">
      <c r="A250" s="2139" t="s">
        <v>1116</v>
      </c>
      <c r="B250" s="2140"/>
      <c r="C250" s="2140"/>
      <c r="D250" s="2140"/>
      <c r="E250" s="2140"/>
      <c r="F250" s="2141"/>
    </row>
    <row r="251" spans="1:9" ht="30">
      <c r="A251" s="80"/>
      <c r="B251" s="81" t="s">
        <v>50</v>
      </c>
      <c r="C251" s="82" t="s">
        <v>51</v>
      </c>
      <c r="D251" s="83" t="s">
        <v>52</v>
      </c>
      <c r="E251" s="84" t="s">
        <v>53</v>
      </c>
      <c r="F251" s="85" t="s">
        <v>54</v>
      </c>
    </row>
    <row r="252" spans="1:9">
      <c r="A252" s="157">
        <v>88264</v>
      </c>
      <c r="B252" s="103" t="s">
        <v>94</v>
      </c>
      <c r="C252" s="99" t="s">
        <v>59</v>
      </c>
      <c r="D252" s="226">
        <v>0.34599999999999997</v>
      </c>
      <c r="E252" s="223">
        <v>20.6</v>
      </c>
      <c r="F252" s="470">
        <f>TRUNC(D252*E252,2)</f>
        <v>7.12</v>
      </c>
    </row>
    <row r="253" spans="1:9" ht="25.5">
      <c r="A253" s="86">
        <v>88247</v>
      </c>
      <c r="B253" s="103" t="s">
        <v>93</v>
      </c>
      <c r="C253" s="99" t="s">
        <v>59</v>
      </c>
      <c r="D253" s="226">
        <v>0.34599999999999997</v>
      </c>
      <c r="E253" s="1610">
        <v>15.61</v>
      </c>
      <c r="F253" s="470">
        <f>TRUNC(D253*E253,2)</f>
        <v>5.4</v>
      </c>
    </row>
    <row r="254" spans="1:9">
      <c r="A254" s="803"/>
      <c r="B254" s="218"/>
      <c r="C254" s="89"/>
      <c r="D254" s="90"/>
      <c r="E254" s="1611" t="s">
        <v>60</v>
      </c>
      <c r="F254" s="472">
        <f>SUM(F252:F253)</f>
        <v>12.52</v>
      </c>
    </row>
    <row r="255" spans="1:9" ht="30">
      <c r="A255" s="97"/>
      <c r="B255" s="1593" t="s">
        <v>95</v>
      </c>
      <c r="C255" s="94" t="s">
        <v>51</v>
      </c>
      <c r="D255" s="95" t="s">
        <v>52</v>
      </c>
      <c r="E255" s="107" t="s">
        <v>64</v>
      </c>
      <c r="F255" s="96" t="s">
        <v>54</v>
      </c>
    </row>
    <row r="256" spans="1:9" ht="25.5">
      <c r="A256" s="86">
        <v>39771</v>
      </c>
      <c r="B256" s="204" t="s">
        <v>1117</v>
      </c>
      <c r="C256" s="99" t="s">
        <v>57</v>
      </c>
      <c r="D256" s="471">
        <v>1</v>
      </c>
      <c r="E256" s="1610">
        <v>32.049999999999997</v>
      </c>
      <c r="F256" s="470">
        <f>TRUNC(D256*E256,2)</f>
        <v>32.049999999999997</v>
      </c>
    </row>
    <row r="257" spans="1:9" ht="15.75" thickBot="1">
      <c r="A257" s="1614"/>
      <c r="B257" s="1615"/>
      <c r="C257" s="1616"/>
      <c r="D257" s="1617"/>
      <c r="E257" s="1611" t="s">
        <v>60</v>
      </c>
      <c r="F257" s="1651">
        <f>SUM(F256:F256)</f>
        <v>32.049999999999997</v>
      </c>
    </row>
    <row r="258" spans="1:9" ht="15.75" thickBot="1">
      <c r="A258" s="193"/>
      <c r="B258" s="2150" t="s">
        <v>55</v>
      </c>
      <c r="C258" s="2150"/>
      <c r="D258" s="2150"/>
      <c r="E258" s="2150"/>
      <c r="F258" s="475">
        <f>F254+F257</f>
        <v>44.569999999999993</v>
      </c>
    </row>
    <row r="259" spans="1:9" ht="15.75" thickBot="1"/>
    <row r="260" spans="1:9" ht="26.25" thickBot="1">
      <c r="A260" s="467" t="s">
        <v>508</v>
      </c>
      <c r="B260" s="468" t="s">
        <v>1115</v>
      </c>
      <c r="C260" s="188" t="s">
        <v>57</v>
      </c>
      <c r="D260" s="219"/>
      <c r="E260" s="219"/>
      <c r="F260" s="220"/>
      <c r="H260" s="469" t="s">
        <v>412</v>
      </c>
    </row>
    <row r="261" spans="1:9">
      <c r="A261" s="2139" t="s">
        <v>1116</v>
      </c>
      <c r="B261" s="2140"/>
      <c r="C261" s="2140"/>
      <c r="D261" s="2140"/>
      <c r="E261" s="2140"/>
      <c r="F261" s="2141"/>
    </row>
    <row r="262" spans="1:9" ht="30">
      <c r="A262" s="80"/>
      <c r="B262" s="81" t="s">
        <v>50</v>
      </c>
      <c r="C262" s="82" t="s">
        <v>51</v>
      </c>
      <c r="D262" s="83" t="s">
        <v>52</v>
      </c>
      <c r="E262" s="84" t="s">
        <v>53</v>
      </c>
      <c r="F262" s="85" t="s">
        <v>54</v>
      </c>
    </row>
    <row r="263" spans="1:9">
      <c r="A263" s="157">
        <v>88264</v>
      </c>
      <c r="B263" s="103" t="s">
        <v>94</v>
      </c>
      <c r="C263" s="99" t="s">
        <v>59</v>
      </c>
      <c r="D263" s="226">
        <v>0.34599999999999997</v>
      </c>
      <c r="E263" s="223">
        <v>20.6</v>
      </c>
      <c r="F263" s="470">
        <f>TRUNC(D263*E263,2)</f>
        <v>7.12</v>
      </c>
    </row>
    <row r="264" spans="1:9" ht="25.5">
      <c r="A264" s="86">
        <v>88247</v>
      </c>
      <c r="B264" s="103" t="s">
        <v>93</v>
      </c>
      <c r="C264" s="99" t="s">
        <v>59</v>
      </c>
      <c r="D264" s="226">
        <v>0.34599999999999997</v>
      </c>
      <c r="E264" s="1610">
        <v>15.61</v>
      </c>
      <c r="F264" s="470">
        <f>TRUNC(D264*E264,2)</f>
        <v>5.4</v>
      </c>
    </row>
    <row r="265" spans="1:9">
      <c r="A265" s="803"/>
      <c r="B265" s="218"/>
      <c r="C265" s="89"/>
      <c r="D265" s="90"/>
      <c r="E265" s="1611" t="s">
        <v>60</v>
      </c>
      <c r="F265" s="472">
        <f>SUM(F263:F264)</f>
        <v>12.52</v>
      </c>
    </row>
    <row r="266" spans="1:9" ht="30">
      <c r="A266" s="97"/>
      <c r="B266" s="1593" t="s">
        <v>95</v>
      </c>
      <c r="C266" s="94" t="s">
        <v>51</v>
      </c>
      <c r="D266" s="95" t="s">
        <v>52</v>
      </c>
      <c r="E266" s="107" t="s">
        <v>64</v>
      </c>
      <c r="F266" s="96" t="s">
        <v>54</v>
      </c>
    </row>
    <row r="267" spans="1:9" ht="25.5">
      <c r="A267" s="86">
        <v>39773</v>
      </c>
      <c r="B267" s="204" t="s">
        <v>1118</v>
      </c>
      <c r="C267" s="99" t="s">
        <v>57</v>
      </c>
      <c r="D267" s="471">
        <v>1</v>
      </c>
      <c r="E267" s="1610">
        <v>101.24</v>
      </c>
      <c r="F267" s="470">
        <f>TRUNC(D267*E267,2)</f>
        <v>101.24</v>
      </c>
    </row>
    <row r="268" spans="1:9" ht="15.75" thickBot="1">
      <c r="A268" s="1614"/>
      <c r="B268" s="1615"/>
      <c r="C268" s="1616"/>
      <c r="D268" s="1617"/>
      <c r="E268" s="1611" t="s">
        <v>60</v>
      </c>
      <c r="F268" s="1651">
        <f>SUM(F267:F267)</f>
        <v>101.24</v>
      </c>
    </row>
    <row r="269" spans="1:9" ht="15.75" thickBot="1">
      <c r="A269" s="193"/>
      <c r="B269" s="2150" t="s">
        <v>55</v>
      </c>
      <c r="C269" s="2150"/>
      <c r="D269" s="2150"/>
      <c r="E269" s="2150"/>
      <c r="F269" s="475">
        <f>F265+F268</f>
        <v>113.75999999999999</v>
      </c>
    </row>
    <row r="270" spans="1:9" ht="15.75" thickBot="1">
      <c r="A270" s="522"/>
      <c r="B270" s="801"/>
      <c r="C270" s="801"/>
      <c r="D270" s="801"/>
      <c r="E270" s="801"/>
      <c r="F270" s="802"/>
    </row>
    <row r="271" spans="1:9" ht="15.75" customHeight="1" thickBot="1">
      <c r="A271" s="467" t="s">
        <v>1119</v>
      </c>
      <c r="B271" s="468" t="s">
        <v>1149</v>
      </c>
      <c r="C271" s="188" t="s">
        <v>57</v>
      </c>
      <c r="D271" s="219"/>
      <c r="E271" s="219"/>
      <c r="F271" s="220"/>
      <c r="I271" s="817" t="s">
        <v>852</v>
      </c>
    </row>
    <row r="272" spans="1:9">
      <c r="A272" s="2139" t="s">
        <v>1150</v>
      </c>
      <c r="B272" s="2140"/>
      <c r="C272" s="2140"/>
      <c r="D272" s="2140"/>
      <c r="E272" s="2140"/>
      <c r="F272" s="2141"/>
    </row>
    <row r="273" spans="1:6" ht="30">
      <c r="A273" s="80"/>
      <c r="B273" s="81" t="s">
        <v>50</v>
      </c>
      <c r="C273" s="82" t="s">
        <v>51</v>
      </c>
      <c r="D273" s="83" t="s">
        <v>52</v>
      </c>
      <c r="E273" s="84" t="s">
        <v>53</v>
      </c>
      <c r="F273" s="85" t="s">
        <v>54</v>
      </c>
    </row>
    <row r="274" spans="1:6">
      <c r="A274" s="157">
        <v>88264</v>
      </c>
      <c r="B274" s="103" t="s">
        <v>94</v>
      </c>
      <c r="C274" s="99" t="s">
        <v>59</v>
      </c>
      <c r="D274" s="226">
        <v>0.3</v>
      </c>
      <c r="E274" s="223">
        <v>20.6</v>
      </c>
      <c r="F274" s="470">
        <f>TRUNC(D274*E274,2)</f>
        <v>6.18</v>
      </c>
    </row>
    <row r="275" spans="1:6" ht="25.5">
      <c r="A275" s="86">
        <v>88247</v>
      </c>
      <c r="B275" s="103" t="s">
        <v>93</v>
      </c>
      <c r="C275" s="99" t="s">
        <v>59</v>
      </c>
      <c r="D275" s="226">
        <v>0.3</v>
      </c>
      <c r="E275" s="1610">
        <v>15.61</v>
      </c>
      <c r="F275" s="470">
        <f>TRUNC(D275*E275,2)</f>
        <v>4.68</v>
      </c>
    </row>
    <row r="276" spans="1:6">
      <c r="A276" s="803"/>
      <c r="B276" s="218"/>
      <c r="C276" s="89"/>
      <c r="D276" s="90"/>
      <c r="E276" s="1611" t="s">
        <v>60</v>
      </c>
      <c r="F276" s="472">
        <f>SUM(F274:F275)</f>
        <v>10.86</v>
      </c>
    </row>
    <row r="277" spans="1:6" ht="30">
      <c r="A277" s="97"/>
      <c r="B277" s="1593" t="s">
        <v>95</v>
      </c>
      <c r="C277" s="94" t="s">
        <v>51</v>
      </c>
      <c r="D277" s="95" t="s">
        <v>52</v>
      </c>
      <c r="E277" s="107" t="s">
        <v>64</v>
      </c>
      <c r="F277" s="96" t="s">
        <v>54</v>
      </c>
    </row>
    <row r="278" spans="1:6" ht="38.25">
      <c r="A278" s="145" t="s">
        <v>67</v>
      </c>
      <c r="B278" s="483" t="s">
        <v>1148</v>
      </c>
      <c r="C278" s="99" t="s">
        <v>57</v>
      </c>
      <c r="D278" s="471">
        <v>1</v>
      </c>
      <c r="E278" s="1610">
        <v>520</v>
      </c>
      <c r="F278" s="470">
        <f>TRUNC(D278*E278,2)</f>
        <v>520</v>
      </c>
    </row>
    <row r="279" spans="1:6" ht="15.75" thickBot="1">
      <c r="A279" s="1614"/>
      <c r="B279" s="1615"/>
      <c r="C279" s="1616"/>
      <c r="D279" s="1617"/>
      <c r="E279" s="1611" t="s">
        <v>60</v>
      </c>
      <c r="F279" s="1651">
        <f>SUM(F278:F278)</f>
        <v>520</v>
      </c>
    </row>
    <row r="280" spans="1:6" ht="15.75" thickBot="1">
      <c r="A280" s="193"/>
      <c r="B280" s="2150" t="s">
        <v>55</v>
      </c>
      <c r="C280" s="2150"/>
      <c r="D280" s="2150"/>
      <c r="E280" s="2150"/>
      <c r="F280" s="475">
        <f>F276+F279</f>
        <v>530.86</v>
      </c>
    </row>
    <row r="281" spans="1:6">
      <c r="A281" s="194"/>
      <c r="B281" s="2076" t="s">
        <v>96</v>
      </c>
      <c r="C281" s="2077"/>
      <c r="D281" s="2077"/>
      <c r="E281" s="2078"/>
      <c r="F281" s="195"/>
    </row>
    <row r="282" spans="1:6" ht="25.5">
      <c r="A282" s="163" t="s">
        <v>61</v>
      </c>
      <c r="B282" s="107" t="s">
        <v>97</v>
      </c>
      <c r="C282" s="294" t="s">
        <v>98</v>
      </c>
      <c r="D282" s="2060" t="s">
        <v>62</v>
      </c>
      <c r="E282" s="2060"/>
      <c r="F282" s="164" t="s">
        <v>99</v>
      </c>
    </row>
    <row r="283" spans="1:6" ht="25.5">
      <c r="A283" s="222">
        <v>44400</v>
      </c>
      <c r="B283" s="204" t="s">
        <v>2370</v>
      </c>
      <c r="C283" s="102">
        <v>520</v>
      </c>
      <c r="D283" s="2061" t="s">
        <v>2371</v>
      </c>
      <c r="E283" s="2062"/>
      <c r="F283" s="148" t="s">
        <v>2372</v>
      </c>
    </row>
    <row r="284" spans="1:6" ht="25.5">
      <c r="A284" s="222">
        <v>44406</v>
      </c>
      <c r="B284" s="204" t="s">
        <v>2373</v>
      </c>
      <c r="C284" s="102">
        <v>542.78</v>
      </c>
      <c r="D284" s="2061" t="s">
        <v>2374</v>
      </c>
      <c r="E284" s="2062"/>
      <c r="F284" s="148" t="s">
        <v>2375</v>
      </c>
    </row>
    <row r="285" spans="1:6" ht="25.5">
      <c r="A285" s="222">
        <v>44405</v>
      </c>
      <c r="B285" s="204" t="s">
        <v>2376</v>
      </c>
      <c r="C285" s="102">
        <v>434.68</v>
      </c>
      <c r="D285" s="2061" t="s">
        <v>2377</v>
      </c>
      <c r="E285" s="2062"/>
      <c r="F285" s="148" t="s">
        <v>2378</v>
      </c>
    </row>
    <row r="286" spans="1:6" ht="15.75" thickBot="1">
      <c r="A286" s="149"/>
      <c r="B286" s="312" t="s">
        <v>63</v>
      </c>
      <c r="C286" s="150">
        <f>MEDIAN(C283:C285)</f>
        <v>520</v>
      </c>
      <c r="D286" s="2079"/>
      <c r="E286" s="2080"/>
      <c r="F286" s="151"/>
    </row>
    <row r="287" spans="1:6" ht="15.75" thickBot="1">
      <c r="A287" s="522"/>
      <c r="B287" s="801"/>
      <c r="C287" s="801"/>
      <c r="D287" s="801"/>
      <c r="E287" s="801"/>
      <c r="F287" s="802"/>
    </row>
    <row r="288" spans="1:6" ht="26.25" customHeight="1" thickBot="1">
      <c r="A288" s="467" t="s">
        <v>1120</v>
      </c>
      <c r="B288" s="468" t="s">
        <v>1151</v>
      </c>
      <c r="C288" s="188" t="s">
        <v>57</v>
      </c>
      <c r="D288" s="219"/>
      <c r="E288" s="219"/>
      <c r="F288" s="220"/>
    </row>
    <row r="289" spans="1:6">
      <c r="A289" s="2139" t="s">
        <v>1154</v>
      </c>
      <c r="B289" s="2140"/>
      <c r="C289" s="2140"/>
      <c r="D289" s="2140"/>
      <c r="E289" s="2140"/>
      <c r="F289" s="2141"/>
    </row>
    <row r="290" spans="1:6" ht="30">
      <c r="A290" s="80"/>
      <c r="B290" s="81" t="s">
        <v>50</v>
      </c>
      <c r="C290" s="82" t="s">
        <v>51</v>
      </c>
      <c r="D290" s="83" t="s">
        <v>52</v>
      </c>
      <c r="E290" s="84" t="s">
        <v>53</v>
      </c>
      <c r="F290" s="85" t="s">
        <v>54</v>
      </c>
    </row>
    <row r="291" spans="1:6">
      <c r="A291" s="157">
        <v>88264</v>
      </c>
      <c r="B291" s="103" t="s">
        <v>94</v>
      </c>
      <c r="C291" s="99" t="s">
        <v>59</v>
      </c>
      <c r="D291" s="225">
        <v>0.39550000000000002</v>
      </c>
      <c r="E291" s="223">
        <v>20.6</v>
      </c>
      <c r="F291" s="470">
        <f>TRUNC(D291*E291,2)</f>
        <v>8.14</v>
      </c>
    </row>
    <row r="292" spans="1:6" ht="25.5">
      <c r="A292" s="86">
        <v>88247</v>
      </c>
      <c r="B292" s="103" t="s">
        <v>93</v>
      </c>
      <c r="C292" s="99" t="s">
        <v>59</v>
      </c>
      <c r="D292" s="225">
        <v>0.39550000000000002</v>
      </c>
      <c r="E292" s="1610">
        <v>15.61</v>
      </c>
      <c r="F292" s="470">
        <f>TRUNC(D292*E292,2)</f>
        <v>6.17</v>
      </c>
    </row>
    <row r="293" spans="1:6">
      <c r="A293" s="803"/>
      <c r="B293" s="218"/>
      <c r="C293" s="89"/>
      <c r="D293" s="90"/>
      <c r="E293" s="1611" t="s">
        <v>60</v>
      </c>
      <c r="F293" s="472">
        <f>SUM(F291:F292)</f>
        <v>14.31</v>
      </c>
    </row>
    <row r="294" spans="1:6" ht="30">
      <c r="A294" s="97"/>
      <c r="B294" s="1593" t="s">
        <v>95</v>
      </c>
      <c r="C294" s="94" t="s">
        <v>51</v>
      </c>
      <c r="D294" s="95" t="s">
        <v>52</v>
      </c>
      <c r="E294" s="107" t="s">
        <v>64</v>
      </c>
      <c r="F294" s="96" t="s">
        <v>54</v>
      </c>
    </row>
    <row r="295" spans="1:6" ht="38.25">
      <c r="A295" s="145" t="s">
        <v>67</v>
      </c>
      <c r="B295" s="483" t="s">
        <v>1152</v>
      </c>
      <c r="C295" s="99" t="s">
        <v>57</v>
      </c>
      <c r="D295" s="471">
        <v>1</v>
      </c>
      <c r="E295" s="1610">
        <v>45.95</v>
      </c>
      <c r="F295" s="470">
        <f>TRUNC(D295*E295,2)</f>
        <v>45.95</v>
      </c>
    </row>
    <row r="296" spans="1:6" ht="15.75" thickBot="1">
      <c r="A296" s="1614"/>
      <c r="B296" s="1615"/>
      <c r="C296" s="1616"/>
      <c r="D296" s="1617"/>
      <c r="E296" s="1611" t="s">
        <v>60</v>
      </c>
      <c r="F296" s="1651">
        <f>SUM(F295:F295)</f>
        <v>45.95</v>
      </c>
    </row>
    <row r="297" spans="1:6" ht="15.75" thickBot="1">
      <c r="A297" s="193"/>
      <c r="B297" s="2150" t="s">
        <v>55</v>
      </c>
      <c r="C297" s="2150"/>
      <c r="D297" s="2150"/>
      <c r="E297" s="2150"/>
      <c r="F297" s="475">
        <f>F293+F296</f>
        <v>60.260000000000005</v>
      </c>
    </row>
    <row r="298" spans="1:6">
      <c r="A298" s="194"/>
      <c r="B298" s="2076" t="s">
        <v>96</v>
      </c>
      <c r="C298" s="2077"/>
      <c r="D298" s="2077"/>
      <c r="E298" s="2078"/>
      <c r="F298" s="195"/>
    </row>
    <row r="299" spans="1:6" ht="25.5">
      <c r="A299" s="163" t="s">
        <v>61</v>
      </c>
      <c r="B299" s="107" t="s">
        <v>97</v>
      </c>
      <c r="C299" s="294" t="s">
        <v>98</v>
      </c>
      <c r="D299" s="2060" t="s">
        <v>62</v>
      </c>
      <c r="E299" s="2060"/>
      <c r="F299" s="164" t="s">
        <v>99</v>
      </c>
    </row>
    <row r="300" spans="1:6" ht="25.5">
      <c r="A300" s="222">
        <v>44400</v>
      </c>
      <c r="B300" s="204" t="s">
        <v>2370</v>
      </c>
      <c r="C300" s="102">
        <v>45.95</v>
      </c>
      <c r="D300" s="2061" t="s">
        <v>2371</v>
      </c>
      <c r="E300" s="2062"/>
      <c r="F300" s="148" t="s">
        <v>2372</v>
      </c>
    </row>
    <row r="301" spans="1:6" ht="25.5">
      <c r="A301" s="222">
        <v>44406</v>
      </c>
      <c r="B301" s="204" t="s">
        <v>2379</v>
      </c>
      <c r="C301" s="102">
        <v>42.95</v>
      </c>
      <c r="D301" s="2061" t="s">
        <v>100</v>
      </c>
      <c r="E301" s="2062"/>
      <c r="F301" s="148" t="s">
        <v>2380</v>
      </c>
    </row>
    <row r="302" spans="1:6" ht="25.5">
      <c r="A302" s="222">
        <v>44405</v>
      </c>
      <c r="B302" s="204" t="s">
        <v>2381</v>
      </c>
      <c r="C302" s="102">
        <v>72.84</v>
      </c>
      <c r="D302" s="2061" t="s">
        <v>2382</v>
      </c>
      <c r="E302" s="2062"/>
      <c r="F302" s="148" t="s">
        <v>2383</v>
      </c>
    </row>
    <row r="303" spans="1:6" ht="15.75" thickBot="1">
      <c r="A303" s="149"/>
      <c r="B303" s="312" t="s">
        <v>63</v>
      </c>
      <c r="C303" s="150">
        <f>MEDIAN(C300:C302)</f>
        <v>45.95</v>
      </c>
      <c r="D303" s="2079"/>
      <c r="E303" s="2080"/>
      <c r="F303" s="151"/>
    </row>
    <row r="304" spans="1:6" ht="15.75" thickBot="1">
      <c r="A304" s="522"/>
      <c r="B304" s="801"/>
      <c r="C304" s="801"/>
      <c r="D304" s="801"/>
      <c r="E304" s="801"/>
      <c r="F304" s="802"/>
    </row>
    <row r="305" spans="1:6" ht="15.75" customHeight="1" thickBot="1">
      <c r="A305" s="467" t="s">
        <v>1153</v>
      </c>
      <c r="B305" s="468" t="s">
        <v>1156</v>
      </c>
      <c r="C305" s="188" t="s">
        <v>57</v>
      </c>
      <c r="D305" s="219"/>
      <c r="E305" s="219"/>
      <c r="F305" s="220"/>
    </row>
    <row r="306" spans="1:6">
      <c r="A306" s="2139" t="s">
        <v>1157</v>
      </c>
      <c r="B306" s="2140"/>
      <c r="C306" s="2140"/>
      <c r="D306" s="2140"/>
      <c r="E306" s="2140"/>
      <c r="F306" s="2141"/>
    </row>
    <row r="307" spans="1:6" ht="30">
      <c r="A307" s="80"/>
      <c r="B307" s="81" t="s">
        <v>50</v>
      </c>
      <c r="C307" s="82" t="s">
        <v>51</v>
      </c>
      <c r="D307" s="83" t="s">
        <v>52</v>
      </c>
      <c r="E307" s="84" t="s">
        <v>53</v>
      </c>
      <c r="F307" s="85" t="s">
        <v>54</v>
      </c>
    </row>
    <row r="308" spans="1:6">
      <c r="A308" s="157">
        <v>88264</v>
      </c>
      <c r="B308" s="103" t="s">
        <v>94</v>
      </c>
      <c r="C308" s="99" t="s">
        <v>59</v>
      </c>
      <c r="D308" s="226">
        <v>0.25</v>
      </c>
      <c r="E308" s="223">
        <v>20.6</v>
      </c>
      <c r="F308" s="470">
        <f>TRUNC(D308*E308,2)</f>
        <v>5.15</v>
      </c>
    </row>
    <row r="309" spans="1:6" ht="25.5">
      <c r="A309" s="86">
        <v>88247</v>
      </c>
      <c r="B309" s="103" t="s">
        <v>93</v>
      </c>
      <c r="C309" s="99" t="s">
        <v>59</v>
      </c>
      <c r="D309" s="226">
        <v>0.25</v>
      </c>
      <c r="E309" s="1610">
        <v>15.61</v>
      </c>
      <c r="F309" s="470">
        <f>TRUNC(D309*E309,2)</f>
        <v>3.9</v>
      </c>
    </row>
    <row r="310" spans="1:6">
      <c r="A310" s="803"/>
      <c r="B310" s="218"/>
      <c r="C310" s="89"/>
      <c r="D310" s="90"/>
      <c r="E310" s="1611" t="s">
        <v>60</v>
      </c>
      <c r="F310" s="472">
        <f>SUM(F308:F309)</f>
        <v>9.0500000000000007</v>
      </c>
    </row>
    <row r="311" spans="1:6" ht="30">
      <c r="A311" s="97"/>
      <c r="B311" s="1593" t="s">
        <v>95</v>
      </c>
      <c r="C311" s="94" t="s">
        <v>51</v>
      </c>
      <c r="D311" s="95" t="s">
        <v>52</v>
      </c>
      <c r="E311" s="107" t="s">
        <v>64</v>
      </c>
      <c r="F311" s="96" t="s">
        <v>54</v>
      </c>
    </row>
    <row r="312" spans="1:6">
      <c r="A312" s="145" t="s">
        <v>67</v>
      </c>
      <c r="B312" s="483" t="s">
        <v>1155</v>
      </c>
      <c r="C312" s="99" t="s">
        <v>57</v>
      </c>
      <c r="D312" s="471">
        <v>1</v>
      </c>
      <c r="E312" s="1610">
        <v>23.8</v>
      </c>
      <c r="F312" s="470">
        <f>TRUNC(D312*E312,2)</f>
        <v>23.8</v>
      </c>
    </row>
    <row r="313" spans="1:6" ht="15.75" thickBot="1">
      <c r="A313" s="1614"/>
      <c r="B313" s="1615"/>
      <c r="C313" s="1616"/>
      <c r="D313" s="1617"/>
      <c r="E313" s="1611" t="s">
        <v>60</v>
      </c>
      <c r="F313" s="1651">
        <f>SUM(F312:F312)</f>
        <v>23.8</v>
      </c>
    </row>
    <row r="314" spans="1:6" ht="15.75" thickBot="1">
      <c r="A314" s="193"/>
      <c r="B314" s="2150" t="s">
        <v>55</v>
      </c>
      <c r="C314" s="2150"/>
      <c r="D314" s="2150"/>
      <c r="E314" s="2150"/>
      <c r="F314" s="475">
        <f>F310+F313</f>
        <v>32.85</v>
      </c>
    </row>
    <row r="315" spans="1:6">
      <c r="A315" s="194"/>
      <c r="B315" s="2076" t="s">
        <v>96</v>
      </c>
      <c r="C315" s="2077"/>
      <c r="D315" s="2077"/>
      <c r="E315" s="2078"/>
      <c r="F315" s="195"/>
    </row>
    <row r="316" spans="1:6" ht="25.5">
      <c r="A316" s="163" t="s">
        <v>61</v>
      </c>
      <c r="B316" s="107" t="s">
        <v>97</v>
      </c>
      <c r="C316" s="294" t="s">
        <v>98</v>
      </c>
      <c r="D316" s="2060" t="s">
        <v>62</v>
      </c>
      <c r="E316" s="2060"/>
      <c r="F316" s="164" t="s">
        <v>99</v>
      </c>
    </row>
    <row r="317" spans="1:6" ht="25.5">
      <c r="A317" s="222">
        <v>44400</v>
      </c>
      <c r="B317" s="204" t="s">
        <v>2370</v>
      </c>
      <c r="C317" s="102">
        <v>23.8</v>
      </c>
      <c r="D317" s="2061" t="s">
        <v>2371</v>
      </c>
      <c r="E317" s="2062"/>
      <c r="F317" s="148" t="s">
        <v>2372</v>
      </c>
    </row>
    <row r="318" spans="1:6" ht="25.5">
      <c r="A318" s="222">
        <v>44405</v>
      </c>
      <c r="B318" s="204" t="s">
        <v>2376</v>
      </c>
      <c r="C318" s="102">
        <v>16.420000000000002</v>
      </c>
      <c r="D318" s="2061" t="s">
        <v>2377</v>
      </c>
      <c r="E318" s="2062"/>
      <c r="F318" s="148" t="s">
        <v>2378</v>
      </c>
    </row>
    <row r="319" spans="1:6">
      <c r="A319" s="222">
        <v>44412</v>
      </c>
      <c r="B319" s="204" t="s">
        <v>2384</v>
      </c>
      <c r="C319" s="102">
        <v>38.43</v>
      </c>
      <c r="D319" s="2061" t="s">
        <v>2501</v>
      </c>
      <c r="E319" s="2062"/>
      <c r="F319" s="148" t="s">
        <v>2502</v>
      </c>
    </row>
    <row r="320" spans="1:6" ht="15.75" thickBot="1">
      <c r="A320" s="149"/>
      <c r="B320" s="312" t="s">
        <v>63</v>
      </c>
      <c r="C320" s="150">
        <f>MEDIAN(C317:C319)</f>
        <v>23.8</v>
      </c>
      <c r="D320" s="2079"/>
      <c r="E320" s="2080"/>
      <c r="F320" s="151"/>
    </row>
    <row r="321" spans="1:9" ht="15.75" thickBot="1">
      <c r="A321" s="522"/>
      <c r="B321" s="801"/>
      <c r="C321" s="801"/>
      <c r="D321" s="801"/>
      <c r="E321" s="801"/>
      <c r="F321" s="802"/>
    </row>
    <row r="322" spans="1:9" ht="26.25" thickBot="1">
      <c r="A322" s="467" t="s">
        <v>1159</v>
      </c>
      <c r="B322" s="476" t="s">
        <v>487</v>
      </c>
      <c r="C322" s="188" t="s">
        <v>57</v>
      </c>
      <c r="D322" s="219"/>
      <c r="E322" s="219"/>
      <c r="F322" s="220"/>
      <c r="H322" s="469"/>
      <c r="I322" s="807" t="s">
        <v>1125</v>
      </c>
    </row>
    <row r="323" spans="1:9">
      <c r="A323" s="2139" t="s">
        <v>488</v>
      </c>
      <c r="B323" s="2140"/>
      <c r="C323" s="2140"/>
      <c r="D323" s="2140"/>
      <c r="E323" s="2140"/>
      <c r="F323" s="2141"/>
    </row>
    <row r="324" spans="1:9" ht="30">
      <c r="A324" s="80"/>
      <c r="B324" s="477" t="s">
        <v>50</v>
      </c>
      <c r="C324" s="82" t="s">
        <v>51</v>
      </c>
      <c r="D324" s="83" t="s">
        <v>52</v>
      </c>
      <c r="E324" s="84" t="s">
        <v>53</v>
      </c>
      <c r="F324" s="85" t="s">
        <v>54</v>
      </c>
    </row>
    <row r="325" spans="1:9">
      <c r="A325" s="361">
        <v>88264</v>
      </c>
      <c r="B325" s="103" t="s">
        <v>94</v>
      </c>
      <c r="C325" s="478" t="s">
        <v>59</v>
      </c>
      <c r="D325" s="226">
        <v>4</v>
      </c>
      <c r="E325" s="223">
        <v>20.6</v>
      </c>
      <c r="F325" s="470">
        <f>TRUNC(D325*E325,2)</f>
        <v>82.4</v>
      </c>
    </row>
    <row r="326" spans="1:9" ht="25.5">
      <c r="A326" s="145">
        <v>88247</v>
      </c>
      <c r="B326" s="103" t="s">
        <v>93</v>
      </c>
      <c r="C326" s="478" t="s">
        <v>59</v>
      </c>
      <c r="D326" s="226">
        <v>4</v>
      </c>
      <c r="E326" s="1610">
        <v>15.61</v>
      </c>
      <c r="F326" s="470">
        <f>TRUNC(D326*E326,2)</f>
        <v>62.44</v>
      </c>
    </row>
    <row r="327" spans="1:9">
      <c r="A327" s="803"/>
      <c r="B327" s="218"/>
      <c r="C327" s="89"/>
      <c r="D327" s="90"/>
      <c r="E327" s="1611" t="s">
        <v>60</v>
      </c>
      <c r="F327" s="472">
        <f>SUM(F325:F326)</f>
        <v>144.84</v>
      </c>
    </row>
    <row r="328" spans="1:9" ht="30">
      <c r="A328" s="97"/>
      <c r="B328" s="1593" t="s">
        <v>95</v>
      </c>
      <c r="C328" s="94" t="s">
        <v>51</v>
      </c>
      <c r="D328" s="95" t="s">
        <v>52</v>
      </c>
      <c r="E328" s="107" t="s">
        <v>64</v>
      </c>
      <c r="F328" s="96" t="s">
        <v>54</v>
      </c>
    </row>
    <row r="329" spans="1:9" ht="51">
      <c r="A329" s="821">
        <v>43093</v>
      </c>
      <c r="B329" s="820" t="s">
        <v>1160</v>
      </c>
      <c r="C329" s="818" t="s">
        <v>57</v>
      </c>
      <c r="D329" s="471">
        <v>1</v>
      </c>
      <c r="E329" s="1610">
        <v>224.07</v>
      </c>
      <c r="F329" s="470">
        <f>TRUNC(D329*E329,2)</f>
        <v>224.07</v>
      </c>
    </row>
    <row r="330" spans="1:9" ht="51">
      <c r="A330" s="1017">
        <v>3380</v>
      </c>
      <c r="B330" s="819" t="s">
        <v>489</v>
      </c>
      <c r="C330" s="99" t="s">
        <v>57</v>
      </c>
      <c r="D330" s="471">
        <v>1</v>
      </c>
      <c r="E330" s="1610">
        <v>43.2</v>
      </c>
      <c r="F330" s="470">
        <f>TRUNC(D330*E330,2)</f>
        <v>43.2</v>
      </c>
    </row>
    <row r="331" spans="1:9" ht="15.75" thickBot="1">
      <c r="A331" s="1614"/>
      <c r="B331" s="1615"/>
      <c r="C331" s="1616"/>
      <c r="D331" s="1617"/>
      <c r="E331" s="1611" t="s">
        <v>60</v>
      </c>
      <c r="F331" s="1651">
        <f>SUM(F329:F330)</f>
        <v>267.27</v>
      </c>
    </row>
    <row r="332" spans="1:9" ht="15.75" thickBot="1">
      <c r="A332" s="193"/>
      <c r="B332" s="2142" t="s">
        <v>55</v>
      </c>
      <c r="C332" s="2143"/>
      <c r="D332" s="2143"/>
      <c r="E332" s="2144"/>
      <c r="F332" s="475">
        <f>F327+F331</f>
        <v>412.11</v>
      </c>
    </row>
    <row r="333" spans="1:9" ht="15.75" thickBot="1"/>
    <row r="334" spans="1:9" ht="15.75" thickBot="1">
      <c r="A334" s="467" t="s">
        <v>1162</v>
      </c>
      <c r="B334" s="468" t="s">
        <v>494</v>
      </c>
      <c r="C334" s="188" t="s">
        <v>57</v>
      </c>
      <c r="D334" s="219"/>
      <c r="E334" s="219"/>
      <c r="F334" s="220"/>
      <c r="H334" s="469"/>
    </row>
    <row r="335" spans="1:9">
      <c r="A335" s="2139" t="s">
        <v>495</v>
      </c>
      <c r="B335" s="2140"/>
      <c r="C335" s="2140"/>
      <c r="D335" s="2140"/>
      <c r="E335" s="2140"/>
      <c r="F335" s="2141"/>
    </row>
    <row r="336" spans="1:9" ht="30">
      <c r="A336" s="80"/>
      <c r="B336" s="81" t="s">
        <v>50</v>
      </c>
      <c r="C336" s="82" t="s">
        <v>51</v>
      </c>
      <c r="D336" s="83" t="s">
        <v>52</v>
      </c>
      <c r="E336" s="84" t="s">
        <v>53</v>
      </c>
      <c r="F336" s="85" t="s">
        <v>54</v>
      </c>
    </row>
    <row r="337" spans="1:9">
      <c r="A337" s="361">
        <v>88264</v>
      </c>
      <c r="B337" s="103" t="s">
        <v>94</v>
      </c>
      <c r="C337" s="99" t="s">
        <v>59</v>
      </c>
      <c r="D337" s="143">
        <v>0.6</v>
      </c>
      <c r="E337" s="223">
        <v>20.6</v>
      </c>
      <c r="F337" s="88">
        <f>TRUNC(D337*E337,2)</f>
        <v>12.36</v>
      </c>
    </row>
    <row r="338" spans="1:9" ht="25.5">
      <c r="A338" s="145">
        <v>88247</v>
      </c>
      <c r="B338" s="103" t="s">
        <v>93</v>
      </c>
      <c r="C338" s="99" t="s">
        <v>59</v>
      </c>
      <c r="D338" s="143">
        <v>0.6</v>
      </c>
      <c r="E338" s="1610">
        <v>15.61</v>
      </c>
      <c r="F338" s="88">
        <f>TRUNC(D338*E338,2)</f>
        <v>9.36</v>
      </c>
    </row>
    <row r="339" spans="1:9">
      <c r="A339" s="803"/>
      <c r="B339" s="218"/>
      <c r="C339" s="89"/>
      <c r="D339" s="90"/>
      <c r="E339" s="1611" t="s">
        <v>60</v>
      </c>
      <c r="F339" s="91">
        <f>SUM(F337:F338)</f>
        <v>21.72</v>
      </c>
    </row>
    <row r="340" spans="1:9" ht="30">
      <c r="A340" s="97"/>
      <c r="B340" s="1593" t="s">
        <v>95</v>
      </c>
      <c r="C340" s="94" t="s">
        <v>51</v>
      </c>
      <c r="D340" s="95" t="s">
        <v>52</v>
      </c>
      <c r="E340" s="107" t="s">
        <v>64</v>
      </c>
      <c r="F340" s="96" t="s">
        <v>54</v>
      </c>
    </row>
    <row r="341" spans="1:9">
      <c r="A341" s="145" t="s">
        <v>67</v>
      </c>
      <c r="B341" s="398" t="s">
        <v>494</v>
      </c>
      <c r="C341" s="99" t="s">
        <v>57</v>
      </c>
      <c r="D341" s="108">
        <v>1</v>
      </c>
      <c r="E341" s="1612">
        <v>299.95</v>
      </c>
      <c r="F341" s="88">
        <f>TRUNC(D341*E341,2)</f>
        <v>299.95</v>
      </c>
    </row>
    <row r="342" spans="1:9" ht="15.75" thickBot="1">
      <c r="A342" s="1614"/>
      <c r="B342" s="1615"/>
      <c r="C342" s="1616"/>
      <c r="D342" s="1617"/>
      <c r="E342" s="1611" t="s">
        <v>60</v>
      </c>
      <c r="F342" s="1618">
        <f>SUM(F341:F341)</f>
        <v>299.95</v>
      </c>
    </row>
    <row r="343" spans="1:9" ht="15.75" thickBot="1">
      <c r="A343" s="193"/>
      <c r="B343" s="2142" t="s">
        <v>55</v>
      </c>
      <c r="C343" s="2143"/>
      <c r="D343" s="2143"/>
      <c r="E343" s="2144"/>
      <c r="F343" s="196">
        <f>F339+F342</f>
        <v>321.66999999999996</v>
      </c>
    </row>
    <row r="344" spans="1:9">
      <c r="A344" s="194"/>
      <c r="B344" s="2145" t="s">
        <v>96</v>
      </c>
      <c r="C344" s="2146"/>
      <c r="D344" s="2146"/>
      <c r="E344" s="2147"/>
      <c r="F344" s="195"/>
    </row>
    <row r="345" spans="1:9" ht="25.5">
      <c r="A345" s="163" t="s">
        <v>61</v>
      </c>
      <c r="B345" s="107" t="s">
        <v>97</v>
      </c>
      <c r="C345" s="294" t="s">
        <v>98</v>
      </c>
      <c r="D345" s="2148" t="s">
        <v>62</v>
      </c>
      <c r="E345" s="2149"/>
      <c r="F345" s="164" t="s">
        <v>99</v>
      </c>
    </row>
    <row r="346" spans="1:9" ht="25.5">
      <c r="A346" s="222">
        <v>44400</v>
      </c>
      <c r="B346" s="204" t="s">
        <v>2370</v>
      </c>
      <c r="C346" s="102">
        <v>308.55</v>
      </c>
      <c r="D346" s="2061" t="s">
        <v>2371</v>
      </c>
      <c r="E346" s="2062"/>
      <c r="F346" s="148" t="s">
        <v>2372</v>
      </c>
      <c r="I346" s="457" t="s">
        <v>62</v>
      </c>
    </row>
    <row r="347" spans="1:9" ht="25.5">
      <c r="A347" s="222">
        <v>44406</v>
      </c>
      <c r="B347" s="204" t="s">
        <v>2379</v>
      </c>
      <c r="C347" s="102">
        <v>299.95</v>
      </c>
      <c r="D347" s="2061" t="s">
        <v>100</v>
      </c>
      <c r="E347" s="2062"/>
      <c r="F347" s="148" t="s">
        <v>2380</v>
      </c>
    </row>
    <row r="348" spans="1:9" ht="25.5">
      <c r="A348" s="222">
        <v>44405</v>
      </c>
      <c r="B348" s="204" t="s">
        <v>2381</v>
      </c>
      <c r="C348" s="102">
        <v>273.57</v>
      </c>
      <c r="D348" s="2061" t="s">
        <v>2382</v>
      </c>
      <c r="E348" s="2062"/>
      <c r="F348" s="148" t="s">
        <v>2383</v>
      </c>
    </row>
    <row r="349" spans="1:9" ht="15.75" thickBot="1">
      <c r="A349" s="149"/>
      <c r="B349" s="312" t="s">
        <v>63</v>
      </c>
      <c r="C349" s="150">
        <f>MEDIAN(C346:C348)</f>
        <v>299.95</v>
      </c>
      <c r="D349" s="2079"/>
      <c r="E349" s="2080"/>
      <c r="F349" s="151"/>
    </row>
    <row r="350" spans="1:9" ht="15.75" thickBot="1"/>
    <row r="351" spans="1:9" ht="15.75" thickBot="1">
      <c r="A351" s="467" t="s">
        <v>1163</v>
      </c>
      <c r="B351" s="468" t="s">
        <v>491</v>
      </c>
      <c r="C351" s="188" t="s">
        <v>57</v>
      </c>
      <c r="D351" s="219"/>
      <c r="E351" s="219"/>
      <c r="F351" s="220"/>
    </row>
    <row r="352" spans="1:9" ht="15" customHeight="1">
      <c r="A352" s="2155" t="s">
        <v>492</v>
      </c>
      <c r="B352" s="2156"/>
      <c r="C352" s="2156"/>
      <c r="D352" s="2156"/>
      <c r="E352" s="2156"/>
      <c r="F352" s="2157"/>
    </row>
    <row r="353" spans="1:6" ht="30">
      <c r="A353" s="80"/>
      <c r="B353" s="81" t="s">
        <v>50</v>
      </c>
      <c r="C353" s="82" t="s">
        <v>51</v>
      </c>
      <c r="D353" s="83" t="s">
        <v>52</v>
      </c>
      <c r="E353" s="84" t="s">
        <v>53</v>
      </c>
      <c r="F353" s="85" t="s">
        <v>54</v>
      </c>
    </row>
    <row r="354" spans="1:6">
      <c r="A354" s="361">
        <v>88264</v>
      </c>
      <c r="B354" s="103" t="s">
        <v>94</v>
      </c>
      <c r="C354" s="99" t="s">
        <v>59</v>
      </c>
      <c r="D354" s="226">
        <v>0.05</v>
      </c>
      <c r="E354" s="223">
        <v>20.6</v>
      </c>
      <c r="F354" s="470">
        <f>TRUNC(D354*E354,2)</f>
        <v>1.03</v>
      </c>
    </row>
    <row r="355" spans="1:6" ht="25.5">
      <c r="A355" s="145">
        <v>88247</v>
      </c>
      <c r="B355" s="103" t="s">
        <v>93</v>
      </c>
      <c r="C355" s="99" t="s">
        <v>59</v>
      </c>
      <c r="D355" s="226">
        <v>0.05</v>
      </c>
      <c r="E355" s="1610">
        <v>15.61</v>
      </c>
      <c r="F355" s="470">
        <f>TRUNC(D355*E355,2)</f>
        <v>0.78</v>
      </c>
    </row>
    <row r="356" spans="1:6">
      <c r="A356" s="803"/>
      <c r="B356" s="218"/>
      <c r="C356" s="89"/>
      <c r="D356" s="90"/>
      <c r="E356" s="1611" t="s">
        <v>60</v>
      </c>
      <c r="F356" s="472">
        <f>SUM(F354:F355)</f>
        <v>1.81</v>
      </c>
    </row>
    <row r="357" spans="1:6" ht="30">
      <c r="A357" s="97"/>
      <c r="B357" s="1593" t="s">
        <v>95</v>
      </c>
      <c r="C357" s="94" t="s">
        <v>51</v>
      </c>
      <c r="D357" s="95" t="s">
        <v>52</v>
      </c>
      <c r="E357" s="107" t="s">
        <v>64</v>
      </c>
      <c r="F357" s="96" t="s">
        <v>54</v>
      </c>
    </row>
    <row r="358" spans="1:6">
      <c r="A358" s="145" t="s">
        <v>67</v>
      </c>
      <c r="B358" s="204" t="s">
        <v>491</v>
      </c>
      <c r="C358" s="99" t="s">
        <v>57</v>
      </c>
      <c r="D358" s="471">
        <v>1</v>
      </c>
      <c r="E358" s="1610">
        <v>5.79</v>
      </c>
      <c r="F358" s="470">
        <f>TRUNC(D358*E358,2)</f>
        <v>5.79</v>
      </c>
    </row>
    <row r="359" spans="1:6" ht="15.75" thickBot="1">
      <c r="A359" s="1614"/>
      <c r="B359" s="1615"/>
      <c r="C359" s="1616"/>
      <c r="D359" s="1617"/>
      <c r="E359" s="1611" t="s">
        <v>60</v>
      </c>
      <c r="F359" s="1651">
        <f>SUM(F358:F358)</f>
        <v>5.79</v>
      </c>
    </row>
    <row r="360" spans="1:6" ht="15.75" thickBot="1">
      <c r="A360" s="193"/>
      <c r="B360" s="2142" t="s">
        <v>55</v>
      </c>
      <c r="C360" s="2143"/>
      <c r="D360" s="2143"/>
      <c r="E360" s="2144"/>
      <c r="F360" s="475">
        <f>F356+F359</f>
        <v>7.6</v>
      </c>
    </row>
    <row r="361" spans="1:6">
      <c r="A361" s="194"/>
      <c r="B361" s="2145" t="s">
        <v>96</v>
      </c>
      <c r="C361" s="2146"/>
      <c r="D361" s="2146"/>
      <c r="E361" s="2147"/>
      <c r="F361" s="195"/>
    </row>
    <row r="362" spans="1:6" ht="25.5">
      <c r="A362" s="163" t="s">
        <v>61</v>
      </c>
      <c r="B362" s="107" t="s">
        <v>97</v>
      </c>
      <c r="C362" s="294" t="s">
        <v>98</v>
      </c>
      <c r="D362" s="2148" t="s">
        <v>62</v>
      </c>
      <c r="E362" s="2149"/>
      <c r="F362" s="164" t="s">
        <v>99</v>
      </c>
    </row>
    <row r="363" spans="1:6" ht="25.5">
      <c r="A363" s="222">
        <v>44400</v>
      </c>
      <c r="B363" s="204" t="s">
        <v>2370</v>
      </c>
      <c r="C363" s="102">
        <v>3.17</v>
      </c>
      <c r="D363" s="2061" t="s">
        <v>2371</v>
      </c>
      <c r="E363" s="2062"/>
      <c r="F363" s="148" t="s">
        <v>2372</v>
      </c>
    </row>
    <row r="364" spans="1:6" ht="25.5">
      <c r="A364" s="222">
        <v>44406</v>
      </c>
      <c r="B364" s="204" t="s">
        <v>2379</v>
      </c>
      <c r="C364" s="102">
        <v>5.79</v>
      </c>
      <c r="D364" s="2061" t="s">
        <v>100</v>
      </c>
      <c r="E364" s="2062"/>
      <c r="F364" s="148" t="s">
        <v>2380</v>
      </c>
    </row>
    <row r="365" spans="1:6" ht="25.5">
      <c r="A365" s="222">
        <v>44405</v>
      </c>
      <c r="B365" s="204" t="s">
        <v>2376</v>
      </c>
      <c r="C365" s="102">
        <v>6.37</v>
      </c>
      <c r="D365" s="2061" t="s">
        <v>2377</v>
      </c>
      <c r="E365" s="2062"/>
      <c r="F365" s="148" t="s">
        <v>2378</v>
      </c>
    </row>
    <row r="366" spans="1:6" ht="15.75" thickBot="1">
      <c r="A366" s="149"/>
      <c r="B366" s="312" t="s">
        <v>63</v>
      </c>
      <c r="C366" s="150">
        <f>MEDIAN(C363:C365)</f>
        <v>5.79</v>
      </c>
      <c r="D366" s="2079"/>
      <c r="E366" s="2080"/>
      <c r="F366" s="151"/>
    </row>
    <row r="367" spans="1:6" ht="15.75" thickBot="1"/>
    <row r="368" spans="1:6" ht="25.5">
      <c r="A368" s="419" t="s">
        <v>1170</v>
      </c>
      <c r="B368" s="830" t="s">
        <v>1172</v>
      </c>
      <c r="C368" s="159" t="s">
        <v>57</v>
      </c>
      <c r="D368" s="831"/>
      <c r="E368" s="831"/>
      <c r="F368" s="832"/>
    </row>
    <row r="369" spans="1:9" ht="15.75" thickBot="1">
      <c r="A369" s="2161" t="s">
        <v>1116</v>
      </c>
      <c r="B369" s="2162"/>
      <c r="C369" s="2162"/>
      <c r="D369" s="2162"/>
      <c r="E369" s="2162"/>
      <c r="F369" s="2163"/>
    </row>
    <row r="370" spans="1:9" ht="30">
      <c r="A370" s="1798"/>
      <c r="B370" s="1799" t="s">
        <v>50</v>
      </c>
      <c r="C370" s="1800" t="s">
        <v>51</v>
      </c>
      <c r="D370" s="1801" t="s">
        <v>52</v>
      </c>
      <c r="E370" s="1802" t="s">
        <v>53</v>
      </c>
      <c r="F370" s="1803" t="s">
        <v>54</v>
      </c>
    </row>
    <row r="371" spans="1:9">
      <c r="A371" s="157">
        <v>88264</v>
      </c>
      <c r="B371" s="103" t="s">
        <v>94</v>
      </c>
      <c r="C371" s="99" t="s">
        <v>59</v>
      </c>
      <c r="D371" s="226">
        <v>0.34599999999999997</v>
      </c>
      <c r="E371" s="223">
        <v>20.6</v>
      </c>
      <c r="F371" s="470">
        <f>TRUNC(D371*E371,2)</f>
        <v>7.12</v>
      </c>
    </row>
    <row r="372" spans="1:9" ht="25.5">
      <c r="A372" s="86">
        <v>88247</v>
      </c>
      <c r="B372" s="103" t="s">
        <v>93</v>
      </c>
      <c r="C372" s="99" t="s">
        <v>59</v>
      </c>
      <c r="D372" s="226">
        <v>0.34599999999999997</v>
      </c>
      <c r="E372" s="1610">
        <v>15.61</v>
      </c>
      <c r="F372" s="470">
        <f>TRUNC(D372*E372,2)</f>
        <v>5.4</v>
      </c>
    </row>
    <row r="373" spans="1:9">
      <c r="A373" s="803"/>
      <c r="B373" s="218"/>
      <c r="C373" s="89"/>
      <c r="D373" s="90"/>
      <c r="E373" s="1611" t="s">
        <v>60</v>
      </c>
      <c r="F373" s="472">
        <f>SUM(F371:F372)</f>
        <v>12.52</v>
      </c>
    </row>
    <row r="374" spans="1:9" ht="30">
      <c r="A374" s="97"/>
      <c r="B374" s="1593" t="s">
        <v>95</v>
      </c>
      <c r="C374" s="94" t="s">
        <v>51</v>
      </c>
      <c r="D374" s="95" t="s">
        <v>52</v>
      </c>
      <c r="E374" s="107" t="s">
        <v>64</v>
      </c>
      <c r="F374" s="96" t="s">
        <v>54</v>
      </c>
    </row>
    <row r="375" spans="1:9" ht="25.5">
      <c r="A375" s="86">
        <v>39772</v>
      </c>
      <c r="B375" s="204" t="s">
        <v>1171</v>
      </c>
      <c r="C375" s="99" t="s">
        <v>57</v>
      </c>
      <c r="D375" s="471">
        <v>1</v>
      </c>
      <c r="E375" s="1610">
        <v>62.99</v>
      </c>
      <c r="F375" s="470">
        <f>TRUNC(D375*E375,2)</f>
        <v>62.99</v>
      </c>
    </row>
    <row r="376" spans="1:9">
      <c r="A376" s="672"/>
      <c r="B376" s="815"/>
      <c r="C376" s="89"/>
      <c r="D376" s="90"/>
      <c r="E376" s="295" t="s">
        <v>60</v>
      </c>
      <c r="F376" s="403">
        <f>SUM(F375:F375)</f>
        <v>62.99</v>
      </c>
    </row>
    <row r="377" spans="1:9" ht="15.75" thickBot="1">
      <c r="A377" s="825"/>
      <c r="B377" s="2135" t="s">
        <v>55</v>
      </c>
      <c r="C377" s="2135"/>
      <c r="D377" s="2135"/>
      <c r="E377" s="2135"/>
      <c r="F377" s="1656">
        <f>F373+F376</f>
        <v>75.510000000000005</v>
      </c>
    </row>
    <row r="378" spans="1:9" ht="15.75" thickBot="1"/>
    <row r="379" spans="1:9" ht="25.5">
      <c r="A379" s="419" t="s">
        <v>1173</v>
      </c>
      <c r="B379" s="830" t="s">
        <v>2385</v>
      </c>
      <c r="C379" s="159" t="s">
        <v>57</v>
      </c>
      <c r="D379" s="831"/>
      <c r="E379" s="831"/>
      <c r="F379" s="832"/>
      <c r="H379" s="469"/>
      <c r="I379" s="811"/>
    </row>
    <row r="380" spans="1:9">
      <c r="A380" s="2136" t="s">
        <v>497</v>
      </c>
      <c r="B380" s="2137"/>
      <c r="C380" s="2137"/>
      <c r="D380" s="2137"/>
      <c r="E380" s="2137"/>
      <c r="F380" s="2138"/>
    </row>
    <row r="381" spans="1:9" ht="30">
      <c r="A381" s="80"/>
      <c r="B381" s="81" t="s">
        <v>50</v>
      </c>
      <c r="C381" s="82" t="s">
        <v>51</v>
      </c>
      <c r="D381" s="83" t="s">
        <v>52</v>
      </c>
      <c r="E381" s="84" t="s">
        <v>53</v>
      </c>
      <c r="F381" s="85" t="s">
        <v>54</v>
      </c>
    </row>
    <row r="382" spans="1:9">
      <c r="A382" s="157">
        <v>88264</v>
      </c>
      <c r="B382" s="103" t="s">
        <v>94</v>
      </c>
      <c r="C382" s="99" t="s">
        <v>59</v>
      </c>
      <c r="D382" s="226">
        <v>0.4</v>
      </c>
      <c r="E382" s="223">
        <v>20.6</v>
      </c>
      <c r="F382" s="470">
        <f>TRUNC(D382*E382,2)</f>
        <v>8.24</v>
      </c>
    </row>
    <row r="383" spans="1:9" ht="25.5">
      <c r="A383" s="86">
        <v>88247</v>
      </c>
      <c r="B383" s="103" t="s">
        <v>93</v>
      </c>
      <c r="C383" s="99" t="s">
        <v>59</v>
      </c>
      <c r="D383" s="226">
        <v>0.4</v>
      </c>
      <c r="E383" s="1610">
        <v>15.61</v>
      </c>
      <c r="F383" s="470">
        <f>TRUNC(D383*E383,2)</f>
        <v>6.24</v>
      </c>
    </row>
    <row r="384" spans="1:9">
      <c r="A384" s="803"/>
      <c r="B384" s="218"/>
      <c r="C384" s="89"/>
      <c r="D384" s="90"/>
      <c r="E384" s="1611" t="s">
        <v>60</v>
      </c>
      <c r="F384" s="472">
        <f>SUM(F382:F383)</f>
        <v>14.48</v>
      </c>
    </row>
    <row r="385" spans="1:9" ht="30">
      <c r="A385" s="97"/>
      <c r="B385" s="1593" t="s">
        <v>95</v>
      </c>
      <c r="C385" s="94" t="s">
        <v>51</v>
      </c>
      <c r="D385" s="95" t="s">
        <v>52</v>
      </c>
      <c r="E385" s="107" t="s">
        <v>64</v>
      </c>
      <c r="F385" s="96" t="s">
        <v>54</v>
      </c>
    </row>
    <row r="386" spans="1:9">
      <c r="A386" s="145" t="s">
        <v>67</v>
      </c>
      <c r="B386" s="483" t="s">
        <v>2386</v>
      </c>
      <c r="C386" s="99" t="s">
        <v>57</v>
      </c>
      <c r="D386" s="471">
        <v>1</v>
      </c>
      <c r="E386" s="1610">
        <v>151.91999999999999</v>
      </c>
      <c r="F386" s="470">
        <f>TRUNC(D386*E386,2)</f>
        <v>151.91999999999999</v>
      </c>
    </row>
    <row r="387" spans="1:9">
      <c r="A387" s="672"/>
      <c r="B387" s="815"/>
      <c r="C387" s="89"/>
      <c r="D387" s="90"/>
      <c r="E387" s="295" t="s">
        <v>60</v>
      </c>
      <c r="F387" s="403">
        <f>SUM(F386:F386)</f>
        <v>151.91999999999999</v>
      </c>
    </row>
    <row r="388" spans="1:9" ht="15.75" thickBot="1">
      <c r="A388" s="825"/>
      <c r="B388" s="2135" t="s">
        <v>55</v>
      </c>
      <c r="C388" s="2135"/>
      <c r="D388" s="2135"/>
      <c r="E388" s="2135"/>
      <c r="F388" s="1656">
        <f>F384+F387</f>
        <v>166.39999999999998</v>
      </c>
    </row>
    <row r="389" spans="1:9">
      <c r="A389" s="194"/>
      <c r="B389" s="2076" t="s">
        <v>96</v>
      </c>
      <c r="C389" s="2077"/>
      <c r="D389" s="2077"/>
      <c r="E389" s="2078"/>
      <c r="F389" s="195"/>
    </row>
    <row r="390" spans="1:9" ht="25.5">
      <c r="A390" s="163" t="s">
        <v>61</v>
      </c>
      <c r="B390" s="107" t="s">
        <v>97</v>
      </c>
      <c r="C390" s="294" t="s">
        <v>98</v>
      </c>
      <c r="D390" s="2060" t="s">
        <v>62</v>
      </c>
      <c r="E390" s="2060"/>
      <c r="F390" s="164" t="s">
        <v>99</v>
      </c>
    </row>
    <row r="391" spans="1:9" ht="25.5" customHeight="1">
      <c r="A391" s="222">
        <v>44400</v>
      </c>
      <c r="B391" s="204" t="s">
        <v>2370</v>
      </c>
      <c r="C391" s="102">
        <v>140.88</v>
      </c>
      <c r="D391" s="2061" t="s">
        <v>2371</v>
      </c>
      <c r="E391" s="2062"/>
      <c r="F391" s="148" t="s">
        <v>2372</v>
      </c>
      <c r="I391" s="481"/>
    </row>
    <row r="392" spans="1:9" ht="25.5">
      <c r="A392" s="222">
        <v>44405</v>
      </c>
      <c r="B392" s="204" t="s">
        <v>2381</v>
      </c>
      <c r="C392" s="102">
        <v>151.91999999999999</v>
      </c>
      <c r="D392" s="2061" t="s">
        <v>2382</v>
      </c>
      <c r="E392" s="2062"/>
      <c r="F392" s="148" t="s">
        <v>2383</v>
      </c>
    </row>
    <row r="393" spans="1:9" ht="25.5">
      <c r="A393" s="222">
        <v>44406</v>
      </c>
      <c r="B393" s="204" t="s">
        <v>2379</v>
      </c>
      <c r="C393" s="102">
        <v>179.95</v>
      </c>
      <c r="D393" s="2061" t="s">
        <v>100</v>
      </c>
      <c r="E393" s="2062"/>
      <c r="F393" s="148" t="s">
        <v>2380</v>
      </c>
    </row>
    <row r="394" spans="1:9" ht="15.75" thickBot="1">
      <c r="A394" s="149"/>
      <c r="B394" s="312" t="s">
        <v>63</v>
      </c>
      <c r="C394" s="150">
        <f>MEDIAN(C391:C393)</f>
        <v>151.91999999999999</v>
      </c>
      <c r="D394" s="2079"/>
      <c r="E394" s="2080"/>
      <c r="F394" s="151"/>
    </row>
    <row r="395" spans="1:9" ht="15.75" thickBot="1"/>
    <row r="396" spans="1:9" ht="28.5" customHeight="1">
      <c r="A396" s="419" t="s">
        <v>1177</v>
      </c>
      <c r="B396" s="830" t="s">
        <v>1176</v>
      </c>
      <c r="C396" s="159" t="s">
        <v>57</v>
      </c>
      <c r="D396" s="831"/>
      <c r="E396" s="831"/>
      <c r="F396" s="832"/>
    </row>
    <row r="397" spans="1:9" ht="15" customHeight="1">
      <c r="A397" s="2136" t="s">
        <v>507</v>
      </c>
      <c r="B397" s="2137"/>
      <c r="C397" s="2137"/>
      <c r="D397" s="2137"/>
      <c r="E397" s="2137"/>
      <c r="F397" s="2138"/>
    </row>
    <row r="398" spans="1:9" ht="30">
      <c r="A398" s="80"/>
      <c r="B398" s="81" t="s">
        <v>50</v>
      </c>
      <c r="C398" s="82" t="s">
        <v>51</v>
      </c>
      <c r="D398" s="83" t="s">
        <v>52</v>
      </c>
      <c r="E398" s="84" t="s">
        <v>53</v>
      </c>
      <c r="F398" s="85" t="s">
        <v>54</v>
      </c>
    </row>
    <row r="399" spans="1:9">
      <c r="A399" s="157">
        <v>88264</v>
      </c>
      <c r="B399" s="103" t="s">
        <v>94</v>
      </c>
      <c r="C399" s="99" t="s">
        <v>59</v>
      </c>
      <c r="D399" s="226">
        <v>0.3</v>
      </c>
      <c r="E399" s="223">
        <v>20.6</v>
      </c>
      <c r="F399" s="470">
        <f>TRUNC(D399*E399,2)</f>
        <v>6.18</v>
      </c>
    </row>
    <row r="400" spans="1:9" ht="25.5">
      <c r="A400" s="86">
        <v>88247</v>
      </c>
      <c r="B400" s="103" t="s">
        <v>93</v>
      </c>
      <c r="C400" s="99" t="s">
        <v>59</v>
      </c>
      <c r="D400" s="226">
        <v>0.3</v>
      </c>
      <c r="E400" s="1610">
        <v>15.61</v>
      </c>
      <c r="F400" s="470">
        <f>TRUNC(D400*E400,2)</f>
        <v>4.68</v>
      </c>
    </row>
    <row r="401" spans="1:9">
      <c r="A401" s="803"/>
      <c r="B401" s="218"/>
      <c r="C401" s="89"/>
      <c r="D401" s="90"/>
      <c r="E401" s="1611" t="s">
        <v>60</v>
      </c>
      <c r="F401" s="472">
        <f>SUM(F399:F400)</f>
        <v>10.86</v>
      </c>
    </row>
    <row r="402" spans="1:9" ht="30">
      <c r="A402" s="97"/>
      <c r="B402" s="1593" t="s">
        <v>95</v>
      </c>
      <c r="C402" s="94" t="s">
        <v>51</v>
      </c>
      <c r="D402" s="95" t="s">
        <v>52</v>
      </c>
      <c r="E402" s="107" t="s">
        <v>64</v>
      </c>
      <c r="F402" s="96" t="s">
        <v>54</v>
      </c>
    </row>
    <row r="403" spans="1:9" ht="25.5">
      <c r="A403" s="86">
        <v>39465</v>
      </c>
      <c r="B403" s="204" t="s">
        <v>1178</v>
      </c>
      <c r="C403" s="99" t="s">
        <v>57</v>
      </c>
      <c r="D403" s="471">
        <v>1</v>
      </c>
      <c r="E403" s="1610">
        <v>61.3</v>
      </c>
      <c r="F403" s="470">
        <f>TRUNC(D403*E403,2)</f>
        <v>61.3</v>
      </c>
    </row>
    <row r="404" spans="1:9">
      <c r="A404" s="672"/>
      <c r="B404" s="815"/>
      <c r="C404" s="89"/>
      <c r="D404" s="90"/>
      <c r="E404" s="295" t="s">
        <v>60</v>
      </c>
      <c r="F404" s="403">
        <f>SUM(F403:F403)</f>
        <v>61.3</v>
      </c>
    </row>
    <row r="405" spans="1:9" ht="15.75" thickBot="1">
      <c r="A405" s="825"/>
      <c r="B405" s="2135" t="s">
        <v>55</v>
      </c>
      <c r="C405" s="2135"/>
      <c r="D405" s="2135"/>
      <c r="E405" s="2135"/>
      <c r="F405" s="1656">
        <f>F401+F404</f>
        <v>72.16</v>
      </c>
    </row>
    <row r="406" spans="1:9" ht="15.75" thickBot="1"/>
    <row r="407" spans="1:9" ht="25.5">
      <c r="A407" s="419" t="s">
        <v>1185</v>
      </c>
      <c r="B407" s="830" t="s">
        <v>2387</v>
      </c>
      <c r="C407" s="159" t="s">
        <v>57</v>
      </c>
      <c r="D407" s="831"/>
      <c r="E407" s="831"/>
      <c r="F407" s="832"/>
    </row>
    <row r="408" spans="1:9" ht="15" customHeight="1">
      <c r="A408" s="2136" t="s">
        <v>497</v>
      </c>
      <c r="B408" s="2137"/>
      <c r="C408" s="2137"/>
      <c r="D408" s="2137"/>
      <c r="E408" s="2137"/>
      <c r="F408" s="2138"/>
    </row>
    <row r="409" spans="1:9" ht="30">
      <c r="A409" s="80"/>
      <c r="B409" s="81" t="s">
        <v>50</v>
      </c>
      <c r="C409" s="82" t="s">
        <v>51</v>
      </c>
      <c r="D409" s="83" t="s">
        <v>52</v>
      </c>
      <c r="E409" s="84" t="s">
        <v>53</v>
      </c>
      <c r="F409" s="85" t="s">
        <v>54</v>
      </c>
    </row>
    <row r="410" spans="1:9">
      <c r="A410" s="157">
        <v>88264</v>
      </c>
      <c r="B410" s="103" t="s">
        <v>94</v>
      </c>
      <c r="C410" s="99" t="s">
        <v>59</v>
      </c>
      <c r="D410" s="226">
        <v>0.4</v>
      </c>
      <c r="E410" s="223">
        <v>20.6</v>
      </c>
      <c r="F410" s="470">
        <f>TRUNC(D410*E410,2)</f>
        <v>8.24</v>
      </c>
      <c r="I410" s="420"/>
    </row>
    <row r="411" spans="1:9" ht="25.5">
      <c r="A411" s="86">
        <v>88247</v>
      </c>
      <c r="B411" s="103" t="s">
        <v>93</v>
      </c>
      <c r="C411" s="99" t="s">
        <v>59</v>
      </c>
      <c r="D411" s="226">
        <v>0.4</v>
      </c>
      <c r="E411" s="1610">
        <v>15.61</v>
      </c>
      <c r="F411" s="470">
        <f>TRUNC(D411*E411,2)</f>
        <v>6.24</v>
      </c>
    </row>
    <row r="412" spans="1:9">
      <c r="A412" s="803"/>
      <c r="B412" s="218"/>
      <c r="C412" s="89"/>
      <c r="D412" s="90"/>
      <c r="E412" s="1611" t="s">
        <v>60</v>
      </c>
      <c r="F412" s="472">
        <f>SUM(F410:F411)</f>
        <v>14.48</v>
      </c>
    </row>
    <row r="413" spans="1:9" ht="30">
      <c r="A413" s="97"/>
      <c r="B413" s="1593" t="s">
        <v>95</v>
      </c>
      <c r="C413" s="94" t="s">
        <v>51</v>
      </c>
      <c r="D413" s="95" t="s">
        <v>52</v>
      </c>
      <c r="E413" s="107" t="s">
        <v>64</v>
      </c>
      <c r="F413" s="96" t="s">
        <v>54</v>
      </c>
    </row>
    <row r="414" spans="1:9">
      <c r="A414" s="145" t="s">
        <v>67</v>
      </c>
      <c r="B414" s="483" t="s">
        <v>1669</v>
      </c>
      <c r="C414" s="99" t="s">
        <v>57</v>
      </c>
      <c r="D414" s="471">
        <v>1</v>
      </c>
      <c r="E414" s="1610">
        <v>151.91999999999999</v>
      </c>
      <c r="F414" s="470">
        <f>TRUNC(D414*E414,2)</f>
        <v>151.91999999999999</v>
      </c>
    </row>
    <row r="415" spans="1:9">
      <c r="A415" s="672"/>
      <c r="B415" s="815"/>
      <c r="C415" s="89"/>
      <c r="D415" s="90"/>
      <c r="E415" s="295" t="s">
        <v>60</v>
      </c>
      <c r="F415" s="403">
        <f>SUM(F414:F414)</f>
        <v>151.91999999999999</v>
      </c>
    </row>
    <row r="416" spans="1:9" ht="15.75" thickBot="1">
      <c r="A416" s="825"/>
      <c r="B416" s="2135" t="s">
        <v>55</v>
      </c>
      <c r="C416" s="2135"/>
      <c r="D416" s="2135"/>
      <c r="E416" s="2135"/>
      <c r="F416" s="1656">
        <f>F412+F415</f>
        <v>166.39999999999998</v>
      </c>
    </row>
    <row r="417" spans="1:6">
      <c r="A417" s="194"/>
      <c r="B417" s="2076" t="s">
        <v>96</v>
      </c>
      <c r="C417" s="2077"/>
      <c r="D417" s="2077"/>
      <c r="E417" s="2078"/>
      <c r="F417" s="195"/>
    </row>
    <row r="418" spans="1:6" ht="25.5">
      <c r="A418" s="163" t="s">
        <v>61</v>
      </c>
      <c r="B418" s="107" t="s">
        <v>97</v>
      </c>
      <c r="C418" s="294" t="s">
        <v>98</v>
      </c>
      <c r="D418" s="2060" t="s">
        <v>62</v>
      </c>
      <c r="E418" s="2060"/>
      <c r="F418" s="164" t="s">
        <v>99</v>
      </c>
    </row>
    <row r="419" spans="1:6" ht="25.5" customHeight="1">
      <c r="A419" s="222">
        <v>44400</v>
      </c>
      <c r="B419" s="204" t="s">
        <v>2370</v>
      </c>
      <c r="C419" s="202">
        <v>140.88</v>
      </c>
      <c r="D419" s="2061" t="s">
        <v>2371</v>
      </c>
      <c r="E419" s="2062"/>
      <c r="F419" s="148" t="s">
        <v>2372</v>
      </c>
    </row>
    <row r="420" spans="1:6" ht="26.25" thickBot="1">
      <c r="A420" s="1576">
        <v>44405</v>
      </c>
      <c r="B420" s="1577" t="s">
        <v>2381</v>
      </c>
      <c r="C420" s="1578">
        <v>151.91999999999999</v>
      </c>
      <c r="D420" s="2091" t="s">
        <v>2382</v>
      </c>
      <c r="E420" s="2092"/>
      <c r="F420" s="1579" t="s">
        <v>2383</v>
      </c>
    </row>
    <row r="421" spans="1:6" ht="25.5">
      <c r="A421" s="1589">
        <v>44406</v>
      </c>
      <c r="B421" s="1590" t="s">
        <v>2379</v>
      </c>
      <c r="C421" s="1591">
        <v>179.95</v>
      </c>
      <c r="D421" s="2093" t="s">
        <v>100</v>
      </c>
      <c r="E421" s="2094"/>
      <c r="F421" s="1804" t="s">
        <v>2380</v>
      </c>
    </row>
    <row r="422" spans="1:6" ht="15.75" thickBot="1">
      <c r="A422" s="149"/>
      <c r="B422" s="312" t="s">
        <v>63</v>
      </c>
      <c r="C422" s="150">
        <f>MEDIAN(C419:C421)</f>
        <v>151.91999999999999</v>
      </c>
      <c r="D422" s="2079"/>
      <c r="E422" s="2080"/>
      <c r="F422" s="151"/>
    </row>
    <row r="423" spans="1:6" ht="15.75" thickBot="1"/>
    <row r="424" spans="1:6" ht="25.5">
      <c r="A424" s="419" t="s">
        <v>1187</v>
      </c>
      <c r="B424" s="830" t="s">
        <v>1672</v>
      </c>
      <c r="C424" s="159" t="s">
        <v>57</v>
      </c>
      <c r="D424" s="831"/>
      <c r="E424" s="831"/>
      <c r="F424" s="832"/>
    </row>
    <row r="425" spans="1:6">
      <c r="A425" s="2136" t="s">
        <v>1184</v>
      </c>
      <c r="B425" s="2137"/>
      <c r="C425" s="2137"/>
      <c r="D425" s="2137"/>
      <c r="E425" s="2137"/>
      <c r="F425" s="2138"/>
    </row>
    <row r="426" spans="1:6" ht="30">
      <c r="A426" s="80"/>
      <c r="B426" s="81" t="s">
        <v>50</v>
      </c>
      <c r="C426" s="82" t="s">
        <v>51</v>
      </c>
      <c r="D426" s="83" t="s">
        <v>52</v>
      </c>
      <c r="E426" s="84" t="s">
        <v>53</v>
      </c>
      <c r="F426" s="85" t="s">
        <v>54</v>
      </c>
    </row>
    <row r="427" spans="1:6">
      <c r="A427" s="157">
        <v>88264</v>
      </c>
      <c r="B427" s="103" t="s">
        <v>94</v>
      </c>
      <c r="C427" s="99" t="s">
        <v>59</v>
      </c>
      <c r="D427" s="226">
        <v>0.05</v>
      </c>
      <c r="E427" s="223">
        <v>20.6</v>
      </c>
      <c r="F427" s="470">
        <f>TRUNC(D427*E427,2)</f>
        <v>1.03</v>
      </c>
    </row>
    <row r="428" spans="1:6" ht="25.5">
      <c r="A428" s="86">
        <v>88247</v>
      </c>
      <c r="B428" s="103" t="s">
        <v>93</v>
      </c>
      <c r="C428" s="99" t="s">
        <v>59</v>
      </c>
      <c r="D428" s="226">
        <v>2.5000000000000001E-2</v>
      </c>
      <c r="E428" s="1610">
        <v>15.61</v>
      </c>
      <c r="F428" s="470">
        <f>TRUNC(D428*E428,2)</f>
        <v>0.39</v>
      </c>
    </row>
    <row r="429" spans="1:6">
      <c r="A429" s="803"/>
      <c r="B429" s="218"/>
      <c r="C429" s="89"/>
      <c r="D429" s="90"/>
      <c r="E429" s="1611" t="s">
        <v>60</v>
      </c>
      <c r="F429" s="472">
        <f>SUM(F427:F428)</f>
        <v>1.42</v>
      </c>
    </row>
    <row r="430" spans="1:6" ht="30">
      <c r="A430" s="97"/>
      <c r="B430" s="1593" t="s">
        <v>95</v>
      </c>
      <c r="C430" s="94" t="s">
        <v>51</v>
      </c>
      <c r="D430" s="95" t="s">
        <v>52</v>
      </c>
      <c r="E430" s="107" t="s">
        <v>64</v>
      </c>
      <c r="F430" s="96" t="s">
        <v>54</v>
      </c>
    </row>
    <row r="431" spans="1:6" ht="25.5">
      <c r="A431" s="145" t="s">
        <v>67</v>
      </c>
      <c r="B431" s="204" t="s">
        <v>1671</v>
      </c>
      <c r="C431" s="99" t="s">
        <v>57</v>
      </c>
      <c r="D431" s="471">
        <v>1</v>
      </c>
      <c r="E431" s="1610">
        <v>2.5299999999999998</v>
      </c>
      <c r="F431" s="470">
        <f>TRUNC(D431*E431,2)</f>
        <v>2.5299999999999998</v>
      </c>
    </row>
    <row r="432" spans="1:6">
      <c r="A432" s="672"/>
      <c r="B432" s="815"/>
      <c r="C432" s="89"/>
      <c r="D432" s="90"/>
      <c r="E432" s="295" t="s">
        <v>60</v>
      </c>
      <c r="F432" s="403">
        <f>SUM(F431:F431)</f>
        <v>2.5299999999999998</v>
      </c>
    </row>
    <row r="433" spans="1:8" ht="15.75" thickBot="1">
      <c r="A433" s="825"/>
      <c r="B433" s="2135" t="s">
        <v>55</v>
      </c>
      <c r="C433" s="2135"/>
      <c r="D433" s="2135"/>
      <c r="E433" s="2135"/>
      <c r="F433" s="1656">
        <f>F429+F432</f>
        <v>3.9499999999999997</v>
      </c>
    </row>
    <row r="434" spans="1:8">
      <c r="A434" s="194"/>
      <c r="B434" s="2076" t="s">
        <v>96</v>
      </c>
      <c r="C434" s="2077"/>
      <c r="D434" s="2077"/>
      <c r="E434" s="2078"/>
      <c r="F434" s="195"/>
    </row>
    <row r="435" spans="1:8" ht="25.5">
      <c r="A435" s="163" t="s">
        <v>61</v>
      </c>
      <c r="B435" s="107" t="s">
        <v>97</v>
      </c>
      <c r="C435" s="294" t="s">
        <v>98</v>
      </c>
      <c r="D435" s="2060" t="s">
        <v>62</v>
      </c>
      <c r="E435" s="2060"/>
      <c r="F435" s="164" t="s">
        <v>99</v>
      </c>
    </row>
    <row r="436" spans="1:8" ht="25.5">
      <c r="A436" s="222">
        <v>44386</v>
      </c>
      <c r="B436" s="204" t="s">
        <v>2340</v>
      </c>
      <c r="C436" s="202">
        <v>3.27</v>
      </c>
      <c r="D436" s="2061" t="s">
        <v>2341</v>
      </c>
      <c r="E436" s="2062"/>
      <c r="F436" s="148" t="s">
        <v>2342</v>
      </c>
    </row>
    <row r="437" spans="1:8" ht="25.5">
      <c r="A437" s="222">
        <v>44397</v>
      </c>
      <c r="B437" s="204" t="s">
        <v>2343</v>
      </c>
      <c r="C437" s="202">
        <v>2.5299999999999998</v>
      </c>
      <c r="D437" s="2061" t="s">
        <v>2344</v>
      </c>
      <c r="E437" s="2062"/>
      <c r="F437" s="148" t="s">
        <v>2345</v>
      </c>
    </row>
    <row r="438" spans="1:8" ht="25.5">
      <c r="A438" s="222">
        <v>44406</v>
      </c>
      <c r="B438" s="204" t="s">
        <v>2379</v>
      </c>
      <c r="C438" s="102">
        <v>1.49</v>
      </c>
      <c r="D438" s="2061" t="s">
        <v>100</v>
      </c>
      <c r="E438" s="2062"/>
      <c r="F438" s="148" t="s">
        <v>2380</v>
      </c>
    </row>
    <row r="439" spans="1:8" ht="15.75" thickBot="1">
      <c r="A439" s="149"/>
      <c r="B439" s="312" t="s">
        <v>63</v>
      </c>
      <c r="C439" s="150">
        <f>MEDIAN(C436:C438)</f>
        <v>2.5299999999999998</v>
      </c>
      <c r="D439" s="2079"/>
      <c r="E439" s="2080"/>
      <c r="F439" s="151"/>
    </row>
    <row r="440" spans="1:8" ht="15.75" thickBot="1"/>
    <row r="441" spans="1:8" ht="27.75" customHeight="1">
      <c r="A441" s="419" t="s">
        <v>1190</v>
      </c>
      <c r="B441" s="830" t="s">
        <v>1180</v>
      </c>
      <c r="C441" s="159" t="s">
        <v>57</v>
      </c>
      <c r="D441" s="831"/>
      <c r="E441" s="831"/>
      <c r="F441" s="832"/>
      <c r="H441" s="469"/>
    </row>
    <row r="442" spans="1:8">
      <c r="A442" s="2136" t="s">
        <v>509</v>
      </c>
      <c r="B442" s="2137"/>
      <c r="C442" s="2137"/>
      <c r="D442" s="2137"/>
      <c r="E442" s="2137"/>
      <c r="F442" s="2138"/>
    </row>
    <row r="443" spans="1:8" ht="30">
      <c r="A443" s="80"/>
      <c r="B443" s="81" t="s">
        <v>50</v>
      </c>
      <c r="C443" s="82" t="s">
        <v>51</v>
      </c>
      <c r="D443" s="83" t="s">
        <v>52</v>
      </c>
      <c r="E443" s="84" t="s">
        <v>53</v>
      </c>
      <c r="F443" s="85" t="s">
        <v>54</v>
      </c>
    </row>
    <row r="444" spans="1:8">
      <c r="A444" s="157">
        <v>88264</v>
      </c>
      <c r="B444" s="103" t="s">
        <v>94</v>
      </c>
      <c r="C444" s="99" t="s">
        <v>59</v>
      </c>
      <c r="D444" s="226">
        <v>1.2</v>
      </c>
      <c r="E444" s="223">
        <v>20.6</v>
      </c>
      <c r="F444" s="470">
        <f>TRUNC(D444*E444,2)</f>
        <v>24.72</v>
      </c>
    </row>
    <row r="445" spans="1:8" ht="25.5">
      <c r="A445" s="86">
        <v>88247</v>
      </c>
      <c r="B445" s="103" t="s">
        <v>93</v>
      </c>
      <c r="C445" s="99" t="s">
        <v>59</v>
      </c>
      <c r="D445" s="226">
        <v>1.2</v>
      </c>
      <c r="E445" s="1610">
        <v>15.61</v>
      </c>
      <c r="F445" s="470">
        <f>TRUNC(D445*E445,2)</f>
        <v>18.73</v>
      </c>
    </row>
    <row r="446" spans="1:8">
      <c r="A446" s="803"/>
      <c r="B446" s="218"/>
      <c r="C446" s="89"/>
      <c r="D446" s="90"/>
      <c r="E446" s="1611" t="s">
        <v>60</v>
      </c>
      <c r="F446" s="472">
        <f>SUM(F444:F445)</f>
        <v>43.45</v>
      </c>
    </row>
    <row r="447" spans="1:8" ht="30">
      <c r="A447" s="97"/>
      <c r="B447" s="1593" t="s">
        <v>95</v>
      </c>
      <c r="C447" s="94" t="s">
        <v>51</v>
      </c>
      <c r="D447" s="95" t="s">
        <v>52</v>
      </c>
      <c r="E447" s="107" t="s">
        <v>64</v>
      </c>
      <c r="F447" s="96" t="s">
        <v>54</v>
      </c>
    </row>
    <row r="448" spans="1:8">
      <c r="A448" s="388">
        <v>39387</v>
      </c>
      <c r="B448" s="398" t="s">
        <v>510</v>
      </c>
      <c r="C448" s="99" t="s">
        <v>57</v>
      </c>
      <c r="D448" s="471">
        <v>4</v>
      </c>
      <c r="E448" s="1610">
        <v>13.4</v>
      </c>
      <c r="F448" s="470">
        <f>TRUNC(D448*E448,2)</f>
        <v>53.6</v>
      </c>
    </row>
    <row r="449" spans="1:8" ht="25.5">
      <c r="A449" s="1017">
        <v>14543</v>
      </c>
      <c r="B449" s="398" t="s">
        <v>511</v>
      </c>
      <c r="C449" s="99" t="s">
        <v>57</v>
      </c>
      <c r="D449" s="1805">
        <v>4</v>
      </c>
      <c r="E449" s="1610">
        <v>6.22</v>
      </c>
      <c r="F449" s="470">
        <f>TRUNC(D449*E449,2)</f>
        <v>24.88</v>
      </c>
    </row>
    <row r="450" spans="1:8" ht="30" customHeight="1">
      <c r="A450" s="1017" t="s">
        <v>67</v>
      </c>
      <c r="B450" s="398" t="s">
        <v>1191</v>
      </c>
      <c r="C450" s="99" t="s">
        <v>57</v>
      </c>
      <c r="D450" s="1805">
        <v>1</v>
      </c>
      <c r="E450" s="1610">
        <v>246.06</v>
      </c>
      <c r="F450" s="470">
        <f>TRUNC(D450*E450,2)</f>
        <v>246.06</v>
      </c>
    </row>
    <row r="451" spans="1:8">
      <c r="A451" s="672"/>
      <c r="B451" s="815"/>
      <c r="C451" s="89"/>
      <c r="D451" s="90"/>
      <c r="E451" s="295" t="s">
        <v>60</v>
      </c>
      <c r="F451" s="403">
        <f>SUM(F448:F450)</f>
        <v>324.54000000000002</v>
      </c>
      <c r="H451" s="754"/>
    </row>
    <row r="452" spans="1:8" ht="15.75" thickBot="1">
      <c r="A452" s="825"/>
      <c r="B452" s="2135" t="s">
        <v>55</v>
      </c>
      <c r="C452" s="2135"/>
      <c r="D452" s="2135"/>
      <c r="E452" s="2135"/>
      <c r="F452" s="1656">
        <f>F446+F451</f>
        <v>367.99</v>
      </c>
    </row>
    <row r="453" spans="1:8">
      <c r="A453" s="479"/>
      <c r="B453" s="2066" t="s">
        <v>96</v>
      </c>
      <c r="C453" s="2067"/>
      <c r="D453" s="2067"/>
      <c r="E453" s="2068"/>
      <c r="F453" s="480"/>
    </row>
    <row r="454" spans="1:8" ht="25.5">
      <c r="A454" s="163" t="s">
        <v>61</v>
      </c>
      <c r="B454" s="107" t="s">
        <v>97</v>
      </c>
      <c r="C454" s="294" t="s">
        <v>98</v>
      </c>
      <c r="D454" s="2060" t="s">
        <v>62</v>
      </c>
      <c r="E454" s="2060"/>
      <c r="F454" s="164" t="s">
        <v>99</v>
      </c>
    </row>
    <row r="455" spans="1:8" ht="25.5">
      <c r="A455" s="222">
        <v>44405</v>
      </c>
      <c r="B455" s="204" t="s">
        <v>2376</v>
      </c>
      <c r="C455" s="102">
        <v>246.06</v>
      </c>
      <c r="D455" s="2061" t="s">
        <v>2377</v>
      </c>
      <c r="E455" s="2062"/>
      <c r="F455" s="148" t="s">
        <v>2378</v>
      </c>
    </row>
    <row r="456" spans="1:8" ht="25.5">
      <c r="A456" s="222">
        <v>44406</v>
      </c>
      <c r="B456" s="204" t="s">
        <v>2379</v>
      </c>
      <c r="C456" s="102">
        <v>283.95</v>
      </c>
      <c r="D456" s="2061" t="s">
        <v>100</v>
      </c>
      <c r="E456" s="2062"/>
      <c r="F456" s="148" t="s">
        <v>2380</v>
      </c>
    </row>
    <row r="457" spans="1:8" ht="25.5">
      <c r="A457" s="222">
        <v>44407</v>
      </c>
      <c r="B457" s="204" t="s">
        <v>175</v>
      </c>
      <c r="C457" s="202">
        <v>169.9</v>
      </c>
      <c r="D457" s="2061" t="s">
        <v>2315</v>
      </c>
      <c r="E457" s="2062"/>
      <c r="F457" s="148" t="s">
        <v>2316</v>
      </c>
    </row>
    <row r="458" spans="1:8" ht="15.75" thickBot="1">
      <c r="A458" s="149"/>
      <c r="B458" s="312" t="s">
        <v>63</v>
      </c>
      <c r="C458" s="150">
        <f>MEDIAN(C455:C457)</f>
        <v>246.06</v>
      </c>
      <c r="D458" s="2079"/>
      <c r="E458" s="2080"/>
      <c r="F458" s="151"/>
    </row>
    <row r="459" spans="1:8" ht="15.75" thickBot="1">
      <c r="A459" s="298"/>
      <c r="B459" s="816"/>
      <c r="C459" s="770"/>
      <c r="D459" s="201"/>
      <c r="E459" s="201"/>
      <c r="F459" s="298"/>
    </row>
    <row r="460" spans="1:8" ht="30" customHeight="1">
      <c r="A460" s="419" t="s">
        <v>1192</v>
      </c>
      <c r="B460" s="830" t="s">
        <v>1202</v>
      </c>
      <c r="C460" s="159" t="s">
        <v>57</v>
      </c>
      <c r="D460" s="831"/>
      <c r="E460" s="831"/>
      <c r="F460" s="832"/>
    </row>
    <row r="461" spans="1:8">
      <c r="A461" s="2136" t="s">
        <v>1193</v>
      </c>
      <c r="B461" s="2137"/>
      <c r="C461" s="2137"/>
      <c r="D461" s="2137"/>
      <c r="E461" s="2137"/>
      <c r="F461" s="2138"/>
    </row>
    <row r="462" spans="1:8" ht="30">
      <c r="A462" s="80"/>
      <c r="B462" s="81" t="s">
        <v>50</v>
      </c>
      <c r="C462" s="82" t="s">
        <v>51</v>
      </c>
      <c r="D462" s="83" t="s">
        <v>52</v>
      </c>
      <c r="E462" s="84" t="s">
        <v>53</v>
      </c>
      <c r="F462" s="85" t="s">
        <v>54</v>
      </c>
    </row>
    <row r="463" spans="1:8">
      <c r="A463" s="157">
        <v>88264</v>
      </c>
      <c r="B463" s="103" t="s">
        <v>94</v>
      </c>
      <c r="C463" s="99" t="s">
        <v>59</v>
      </c>
      <c r="D463" s="226">
        <v>0.5</v>
      </c>
      <c r="E463" s="223">
        <v>20.6</v>
      </c>
      <c r="F463" s="470">
        <f>TRUNC(D463*E463,2)</f>
        <v>10.3</v>
      </c>
    </row>
    <row r="464" spans="1:8" ht="25.5">
      <c r="A464" s="86">
        <v>88247</v>
      </c>
      <c r="B464" s="103" t="s">
        <v>93</v>
      </c>
      <c r="C464" s="99" t="s">
        <v>59</v>
      </c>
      <c r="D464" s="226">
        <v>0.3</v>
      </c>
      <c r="E464" s="1610">
        <v>15.61</v>
      </c>
      <c r="F464" s="470">
        <f>TRUNC(D464*E464,2)</f>
        <v>4.68</v>
      </c>
    </row>
    <row r="465" spans="1:9">
      <c r="A465" s="803"/>
      <c r="B465" s="218"/>
      <c r="C465" s="89"/>
      <c r="D465" s="90"/>
      <c r="E465" s="1611" t="s">
        <v>60</v>
      </c>
      <c r="F465" s="472">
        <f>SUM(F463:F464)</f>
        <v>14.98</v>
      </c>
    </row>
    <row r="466" spans="1:9" ht="30">
      <c r="A466" s="97"/>
      <c r="B466" s="1593" t="s">
        <v>95</v>
      </c>
      <c r="C466" s="94" t="s">
        <v>51</v>
      </c>
      <c r="D466" s="95" t="s">
        <v>52</v>
      </c>
      <c r="E466" s="107" t="s">
        <v>64</v>
      </c>
      <c r="F466" s="96" t="s">
        <v>54</v>
      </c>
    </row>
    <row r="467" spans="1:9">
      <c r="A467" s="361" t="s">
        <v>67</v>
      </c>
      <c r="B467" s="398" t="s">
        <v>1194</v>
      </c>
      <c r="C467" s="99" t="s">
        <v>57</v>
      </c>
      <c r="D467" s="471">
        <v>2</v>
      </c>
      <c r="E467" s="1610">
        <v>1.06</v>
      </c>
      <c r="F467" s="470">
        <f>TRUNC(D467*E467,2)</f>
        <v>2.12</v>
      </c>
    </row>
    <row r="468" spans="1:9" ht="25.5">
      <c r="A468" s="1017">
        <v>39391</v>
      </c>
      <c r="B468" s="204" t="s">
        <v>1207</v>
      </c>
      <c r="C468" s="99" t="s">
        <v>57</v>
      </c>
      <c r="D468" s="1805">
        <v>1</v>
      </c>
      <c r="E468" s="1610">
        <v>41.01</v>
      </c>
      <c r="F468" s="470">
        <f>TRUNC(D468*E468,2)</f>
        <v>41.01</v>
      </c>
    </row>
    <row r="469" spans="1:9">
      <c r="A469" s="672"/>
      <c r="B469" s="815"/>
      <c r="C469" s="89"/>
      <c r="D469" s="90"/>
      <c r="E469" s="295" t="s">
        <v>60</v>
      </c>
      <c r="F469" s="403">
        <f>SUM(F467:F468)</f>
        <v>43.129999999999995</v>
      </c>
    </row>
    <row r="470" spans="1:9" ht="15.75" thickBot="1">
      <c r="A470" s="825"/>
      <c r="B470" s="2135" t="s">
        <v>55</v>
      </c>
      <c r="C470" s="2135"/>
      <c r="D470" s="2135"/>
      <c r="E470" s="2135"/>
      <c r="F470" s="1656">
        <f>F465+F469</f>
        <v>58.11</v>
      </c>
    </row>
    <row r="471" spans="1:9" ht="15.75" thickBot="1">
      <c r="A471" s="189"/>
      <c r="B471" s="2104" t="s">
        <v>96</v>
      </c>
      <c r="C471" s="2105"/>
      <c r="D471" s="2105"/>
      <c r="E471" s="2106"/>
      <c r="F471" s="190"/>
    </row>
    <row r="472" spans="1:9" ht="25.5">
      <c r="A472" s="1718" t="s">
        <v>61</v>
      </c>
      <c r="B472" s="1719" t="s">
        <v>97</v>
      </c>
      <c r="C472" s="1720" t="s">
        <v>98</v>
      </c>
      <c r="D472" s="2072" t="s">
        <v>62</v>
      </c>
      <c r="E472" s="2072"/>
      <c r="F472" s="1721" t="s">
        <v>99</v>
      </c>
    </row>
    <row r="473" spans="1:9" ht="25.5">
      <c r="A473" s="222">
        <v>44400</v>
      </c>
      <c r="B473" s="204" t="s">
        <v>2370</v>
      </c>
      <c r="C473" s="102">
        <v>2.0699999999999998</v>
      </c>
      <c r="D473" s="2061" t="s">
        <v>2371</v>
      </c>
      <c r="E473" s="2062"/>
      <c r="F473" s="148" t="s">
        <v>2372</v>
      </c>
      <c r="I473" s="935" t="s">
        <v>2388</v>
      </c>
    </row>
    <row r="474" spans="1:9" ht="25.5">
      <c r="A474" s="222">
        <v>44406</v>
      </c>
      <c r="B474" s="204" t="s">
        <v>2379</v>
      </c>
      <c r="C474" s="102">
        <v>1.06</v>
      </c>
      <c r="D474" s="2061" t="s">
        <v>100</v>
      </c>
      <c r="E474" s="2062"/>
      <c r="F474" s="148" t="s">
        <v>2380</v>
      </c>
      <c r="I474" s="935" t="s">
        <v>2389</v>
      </c>
    </row>
    <row r="475" spans="1:9" ht="25.5">
      <c r="A475" s="222">
        <v>44405</v>
      </c>
      <c r="B475" s="204" t="s">
        <v>2376</v>
      </c>
      <c r="C475" s="102">
        <v>1.04</v>
      </c>
      <c r="D475" s="2061" t="s">
        <v>2377</v>
      </c>
      <c r="E475" s="2062"/>
      <c r="F475" s="148" t="s">
        <v>2378</v>
      </c>
      <c r="I475" s="935" t="s">
        <v>2390</v>
      </c>
    </row>
    <row r="476" spans="1:9" ht="15.75" thickBot="1">
      <c r="A476" s="149"/>
      <c r="B476" s="312" t="s">
        <v>63</v>
      </c>
      <c r="C476" s="150">
        <f>MEDIAN(C473:C475)</f>
        <v>1.06</v>
      </c>
      <c r="D476" s="2079"/>
      <c r="E476" s="2080"/>
      <c r="F476" s="151"/>
    </row>
    <row r="477" spans="1:9" ht="15.75" thickBot="1">
      <c r="A477" s="298"/>
      <c r="B477" s="816"/>
      <c r="C477" s="770"/>
      <c r="D477" s="201"/>
      <c r="E477" s="201"/>
      <c r="F477" s="298"/>
    </row>
    <row r="478" spans="1:9" ht="30.75" customHeight="1">
      <c r="A478" s="419" t="s">
        <v>1195</v>
      </c>
      <c r="B478" s="830" t="s">
        <v>1201</v>
      </c>
      <c r="C478" s="159" t="s">
        <v>57</v>
      </c>
      <c r="D478" s="831"/>
      <c r="E478" s="831"/>
      <c r="F478" s="832"/>
    </row>
    <row r="479" spans="1:9">
      <c r="A479" s="2136" t="s">
        <v>1193</v>
      </c>
      <c r="B479" s="2137"/>
      <c r="C479" s="2137"/>
      <c r="D479" s="2137"/>
      <c r="E479" s="2137"/>
      <c r="F479" s="2138"/>
    </row>
    <row r="480" spans="1:9" ht="30">
      <c r="A480" s="80"/>
      <c r="B480" s="81" t="s">
        <v>50</v>
      </c>
      <c r="C480" s="82" t="s">
        <v>51</v>
      </c>
      <c r="D480" s="83" t="s">
        <v>52</v>
      </c>
      <c r="E480" s="84" t="s">
        <v>53</v>
      </c>
      <c r="F480" s="85" t="s">
        <v>54</v>
      </c>
    </row>
    <row r="481" spans="1:9">
      <c r="A481" s="157">
        <v>88264</v>
      </c>
      <c r="B481" s="103" t="s">
        <v>94</v>
      </c>
      <c r="C481" s="99" t="s">
        <v>59</v>
      </c>
      <c r="D481" s="226">
        <v>0.5</v>
      </c>
      <c r="E481" s="223">
        <v>20.6</v>
      </c>
      <c r="F481" s="470">
        <f>TRUNC(D481*E481,2)</f>
        <v>10.3</v>
      </c>
    </row>
    <row r="482" spans="1:9" ht="25.5">
      <c r="A482" s="86">
        <v>88247</v>
      </c>
      <c r="B482" s="103" t="s">
        <v>93</v>
      </c>
      <c r="C482" s="99" t="s">
        <v>59</v>
      </c>
      <c r="D482" s="226">
        <v>0.3</v>
      </c>
      <c r="E482" s="1610">
        <v>15.61</v>
      </c>
      <c r="F482" s="470">
        <f>TRUNC(D482*E482,2)</f>
        <v>4.68</v>
      </c>
    </row>
    <row r="483" spans="1:9">
      <c r="A483" s="803"/>
      <c r="B483" s="218"/>
      <c r="C483" s="89"/>
      <c r="D483" s="90"/>
      <c r="E483" s="1611" t="s">
        <v>60</v>
      </c>
      <c r="F483" s="472">
        <f>SUM(F481:F482)</f>
        <v>14.98</v>
      </c>
    </row>
    <row r="484" spans="1:9" ht="30">
      <c r="A484" s="97"/>
      <c r="B484" s="1593" t="s">
        <v>95</v>
      </c>
      <c r="C484" s="94" t="s">
        <v>51</v>
      </c>
      <c r="D484" s="95" t="s">
        <v>52</v>
      </c>
      <c r="E484" s="107" t="s">
        <v>64</v>
      </c>
      <c r="F484" s="96" t="s">
        <v>54</v>
      </c>
    </row>
    <row r="485" spans="1:9">
      <c r="A485" s="361" t="s">
        <v>67</v>
      </c>
      <c r="B485" s="398" t="s">
        <v>1194</v>
      </c>
      <c r="C485" s="99" t="s">
        <v>57</v>
      </c>
      <c r="D485" s="471">
        <v>2</v>
      </c>
      <c r="E485" s="1610">
        <v>1.06</v>
      </c>
      <c r="F485" s="470">
        <f>TRUNC(D485*E485,2)</f>
        <v>2.12</v>
      </c>
    </row>
    <row r="486" spans="1:9" ht="25.5">
      <c r="A486" s="1017">
        <v>39389</v>
      </c>
      <c r="B486" s="204" t="s">
        <v>1197</v>
      </c>
      <c r="C486" s="99" t="s">
        <v>57</v>
      </c>
      <c r="D486" s="1805">
        <v>1</v>
      </c>
      <c r="E486" s="1610">
        <v>17.420000000000002</v>
      </c>
      <c r="F486" s="470">
        <f>TRUNC(D486*E486,2)</f>
        <v>17.420000000000002</v>
      </c>
    </row>
    <row r="487" spans="1:9">
      <c r="A487" s="672"/>
      <c r="B487" s="815"/>
      <c r="C487" s="89"/>
      <c r="D487" s="90"/>
      <c r="E487" s="295" t="s">
        <v>60</v>
      </c>
      <c r="F487" s="403">
        <f>SUM(F485:F486)</f>
        <v>19.540000000000003</v>
      </c>
    </row>
    <row r="488" spans="1:9" ht="15.75" thickBot="1">
      <c r="A488" s="825"/>
      <c r="B488" s="2135" t="s">
        <v>55</v>
      </c>
      <c r="C488" s="2135"/>
      <c r="D488" s="2135"/>
      <c r="E488" s="2135"/>
      <c r="F488" s="1656">
        <f>F483+F487</f>
        <v>34.520000000000003</v>
      </c>
    </row>
    <row r="489" spans="1:9" ht="15" customHeight="1">
      <c r="A489" s="479"/>
      <c r="B489" s="2066" t="s">
        <v>96</v>
      </c>
      <c r="C489" s="2067"/>
      <c r="D489" s="2067"/>
      <c r="E489" s="2068"/>
      <c r="F489" s="480"/>
    </row>
    <row r="490" spans="1:9" ht="25.5" customHeight="1">
      <c r="A490" s="163" t="s">
        <v>61</v>
      </c>
      <c r="B490" s="107" t="s">
        <v>97</v>
      </c>
      <c r="C490" s="294" t="s">
        <v>98</v>
      </c>
      <c r="D490" s="2060" t="s">
        <v>62</v>
      </c>
      <c r="E490" s="2060"/>
      <c r="F490" s="164" t="s">
        <v>99</v>
      </c>
    </row>
    <row r="491" spans="1:9" ht="23.25" customHeight="1">
      <c r="A491" s="222">
        <v>44400</v>
      </c>
      <c r="B491" s="204" t="s">
        <v>2370</v>
      </c>
      <c r="C491" s="102">
        <v>2.0699999999999998</v>
      </c>
      <c r="D491" s="2061" t="s">
        <v>2371</v>
      </c>
      <c r="E491" s="2062"/>
      <c r="F491" s="148" t="s">
        <v>2372</v>
      </c>
      <c r="I491" s="935" t="s">
        <v>2388</v>
      </c>
    </row>
    <row r="492" spans="1:9" ht="25.5" customHeight="1">
      <c r="A492" s="222">
        <v>44406</v>
      </c>
      <c r="B492" s="204" t="s">
        <v>2379</v>
      </c>
      <c r="C492" s="102">
        <v>1.06</v>
      </c>
      <c r="D492" s="2061" t="s">
        <v>100</v>
      </c>
      <c r="E492" s="2062"/>
      <c r="F492" s="148" t="s">
        <v>2380</v>
      </c>
      <c r="I492" s="935" t="s">
        <v>2389</v>
      </c>
    </row>
    <row r="493" spans="1:9" ht="29.25" customHeight="1">
      <c r="A493" s="222">
        <v>44405</v>
      </c>
      <c r="B493" s="204" t="s">
        <v>2376</v>
      </c>
      <c r="C493" s="102">
        <v>1.04</v>
      </c>
      <c r="D493" s="2061" t="s">
        <v>2377</v>
      </c>
      <c r="E493" s="2062"/>
      <c r="F493" s="148" t="s">
        <v>2378</v>
      </c>
      <c r="I493" s="935" t="s">
        <v>2390</v>
      </c>
    </row>
    <row r="494" spans="1:9" ht="15" customHeight="1" thickBot="1">
      <c r="A494" s="149"/>
      <c r="B494" s="312" t="s">
        <v>63</v>
      </c>
      <c r="C494" s="150">
        <f>MEDIAN(C491:C493)</f>
        <v>1.06</v>
      </c>
      <c r="D494" s="2079"/>
      <c r="E494" s="2080"/>
      <c r="F494" s="151"/>
    </row>
    <row r="495" spans="1:9" ht="15" customHeight="1" thickBot="1">
      <c r="A495" s="558"/>
      <c r="B495" s="814"/>
      <c r="C495" s="826"/>
      <c r="D495" s="827"/>
      <c r="E495" s="828"/>
      <c r="F495" s="829"/>
    </row>
    <row r="496" spans="1:9" ht="25.5">
      <c r="A496" s="419" t="s">
        <v>1196</v>
      </c>
      <c r="B496" s="830" t="s">
        <v>1208</v>
      </c>
      <c r="C496" s="159" t="s">
        <v>57</v>
      </c>
      <c r="D496" s="831"/>
      <c r="E496" s="831"/>
      <c r="F496" s="832"/>
    </row>
    <row r="497" spans="1:6">
      <c r="A497" s="2136" t="s">
        <v>1209</v>
      </c>
      <c r="B497" s="2137"/>
      <c r="C497" s="2137"/>
      <c r="D497" s="2137"/>
      <c r="E497" s="2137"/>
      <c r="F497" s="2138"/>
    </row>
    <row r="498" spans="1:6" ht="30">
      <c r="A498" s="80"/>
      <c r="B498" s="81" t="s">
        <v>50</v>
      </c>
      <c r="C498" s="82" t="s">
        <v>51</v>
      </c>
      <c r="D498" s="83" t="s">
        <v>52</v>
      </c>
      <c r="E498" s="84" t="s">
        <v>53</v>
      </c>
      <c r="F498" s="85" t="s">
        <v>54</v>
      </c>
    </row>
    <row r="499" spans="1:6">
      <c r="A499" s="157">
        <v>88264</v>
      </c>
      <c r="B499" s="103" t="s">
        <v>94</v>
      </c>
      <c r="C499" s="99" t="s">
        <v>59</v>
      </c>
      <c r="D499" s="226">
        <v>0.5</v>
      </c>
      <c r="E499" s="223">
        <v>20.6</v>
      </c>
      <c r="F499" s="470">
        <f>TRUNC(D499*E499,2)</f>
        <v>10.3</v>
      </c>
    </row>
    <row r="500" spans="1:6" ht="25.5">
      <c r="A500" s="86">
        <v>88247</v>
      </c>
      <c r="B500" s="103" t="s">
        <v>93</v>
      </c>
      <c r="C500" s="99" t="s">
        <v>59</v>
      </c>
      <c r="D500" s="226">
        <v>0.3</v>
      </c>
      <c r="E500" s="1610">
        <v>15.61</v>
      </c>
      <c r="F500" s="470">
        <f>TRUNC(D500*E500,2)</f>
        <v>4.68</v>
      </c>
    </row>
    <row r="501" spans="1:6">
      <c r="A501" s="803"/>
      <c r="B501" s="218"/>
      <c r="C501" s="89"/>
      <c r="D501" s="90"/>
      <c r="E501" s="1611" t="s">
        <v>60</v>
      </c>
      <c r="F501" s="472">
        <f>SUM(F499:F500)</f>
        <v>14.98</v>
      </c>
    </row>
    <row r="502" spans="1:6" ht="30">
      <c r="A502" s="97"/>
      <c r="B502" s="1593" t="s">
        <v>95</v>
      </c>
      <c r="C502" s="94" t="s">
        <v>51</v>
      </c>
      <c r="D502" s="95" t="s">
        <v>52</v>
      </c>
      <c r="E502" s="107" t="s">
        <v>64</v>
      </c>
      <c r="F502" s="96" t="s">
        <v>54</v>
      </c>
    </row>
    <row r="503" spans="1:6" ht="25.5">
      <c r="A503" s="1019">
        <v>21127</v>
      </c>
      <c r="B503" s="204" t="s">
        <v>1203</v>
      </c>
      <c r="C503" s="99" t="s">
        <v>57</v>
      </c>
      <c r="D503" s="1805">
        <v>2.1000000000000001E-2</v>
      </c>
      <c r="E503" s="1610">
        <v>4.1399999999999997</v>
      </c>
      <c r="F503" s="470">
        <f>TRUNC(D503*E503,2)</f>
        <v>0.08</v>
      </c>
    </row>
    <row r="504" spans="1:6">
      <c r="A504" s="1017">
        <v>39380</v>
      </c>
      <c r="B504" s="204" t="s">
        <v>1204</v>
      </c>
      <c r="C504" s="99" t="s">
        <v>57</v>
      </c>
      <c r="D504" s="1805">
        <v>1</v>
      </c>
      <c r="E504" s="1610">
        <v>16.600000000000001</v>
      </c>
      <c r="F504" s="470">
        <f t="shared" ref="F504:F505" si="2">TRUNC(D504*E504,2)</f>
        <v>16.600000000000001</v>
      </c>
    </row>
    <row r="505" spans="1:6" ht="25.5">
      <c r="A505" s="1017" t="s">
        <v>67</v>
      </c>
      <c r="B505" s="204" t="s">
        <v>1198</v>
      </c>
      <c r="C505" s="99" t="s">
        <v>57</v>
      </c>
      <c r="D505" s="1805">
        <v>1</v>
      </c>
      <c r="E505" s="1610">
        <v>39.950000000000003</v>
      </c>
      <c r="F505" s="470">
        <f t="shared" si="2"/>
        <v>39.950000000000003</v>
      </c>
    </row>
    <row r="506" spans="1:6">
      <c r="A506" s="672"/>
      <c r="B506" s="815"/>
      <c r="C506" s="89"/>
      <c r="D506" s="90"/>
      <c r="E506" s="295" t="s">
        <v>60</v>
      </c>
      <c r="F506" s="403">
        <f>SUM(F503:F505)</f>
        <v>56.63</v>
      </c>
    </row>
    <row r="507" spans="1:6" ht="15.75" thickBot="1">
      <c r="A507" s="825"/>
      <c r="B507" s="2135" t="s">
        <v>55</v>
      </c>
      <c r="C507" s="2135"/>
      <c r="D507" s="2135"/>
      <c r="E507" s="2135"/>
      <c r="F507" s="1656">
        <f>F501+F506</f>
        <v>71.61</v>
      </c>
    </row>
    <row r="508" spans="1:6">
      <c r="A508" s="479"/>
      <c r="B508" s="2066" t="s">
        <v>96</v>
      </c>
      <c r="C508" s="2067"/>
      <c r="D508" s="2067"/>
      <c r="E508" s="2068"/>
      <c r="F508" s="480"/>
    </row>
    <row r="509" spans="1:6" ht="25.5">
      <c r="A509" s="163" t="s">
        <v>61</v>
      </c>
      <c r="B509" s="107" t="s">
        <v>97</v>
      </c>
      <c r="C509" s="294" t="s">
        <v>98</v>
      </c>
      <c r="D509" s="2060" t="s">
        <v>62</v>
      </c>
      <c r="E509" s="2060"/>
      <c r="F509" s="164" t="s">
        <v>99</v>
      </c>
    </row>
    <row r="510" spans="1:6" ht="25.5">
      <c r="A510" s="222">
        <v>44400</v>
      </c>
      <c r="B510" s="204" t="s">
        <v>2370</v>
      </c>
      <c r="C510" s="102">
        <v>19.5</v>
      </c>
      <c r="D510" s="2061" t="s">
        <v>2371</v>
      </c>
      <c r="E510" s="2062"/>
      <c r="F510" s="148" t="s">
        <v>2372</v>
      </c>
    </row>
    <row r="511" spans="1:6" ht="25.5">
      <c r="A511" s="222">
        <v>44406</v>
      </c>
      <c r="B511" s="204" t="s">
        <v>2379</v>
      </c>
      <c r="C511" s="102">
        <v>39.950000000000003</v>
      </c>
      <c r="D511" s="2061" t="s">
        <v>100</v>
      </c>
      <c r="E511" s="2062"/>
      <c r="F511" s="148" t="s">
        <v>2380</v>
      </c>
    </row>
    <row r="512" spans="1:6" ht="25.5">
      <c r="A512" s="222">
        <v>44405</v>
      </c>
      <c r="B512" s="204" t="s">
        <v>2376</v>
      </c>
      <c r="C512" s="102">
        <v>58.44</v>
      </c>
      <c r="D512" s="2061" t="s">
        <v>2377</v>
      </c>
      <c r="E512" s="2062"/>
      <c r="F512" s="148" t="s">
        <v>2378</v>
      </c>
    </row>
    <row r="513" spans="1:8" ht="15.75" thickBot="1">
      <c r="A513" s="149"/>
      <c r="B513" s="312" t="s">
        <v>63</v>
      </c>
      <c r="C513" s="150">
        <f>MEDIAN(C510:C512)</f>
        <v>39.950000000000003</v>
      </c>
      <c r="D513" s="2079"/>
      <c r="E513" s="2080"/>
      <c r="F513" s="151"/>
    </row>
    <row r="514" spans="1:8" ht="15.75" thickBot="1">
      <c r="A514" s="298"/>
      <c r="B514" s="816"/>
      <c r="C514" s="770"/>
      <c r="D514" s="201"/>
      <c r="E514" s="201"/>
      <c r="F514" s="298"/>
    </row>
    <row r="515" spans="1:8">
      <c r="A515" s="419" t="s">
        <v>1200</v>
      </c>
      <c r="B515" s="830" t="s">
        <v>1205</v>
      </c>
      <c r="C515" s="159" t="s">
        <v>57</v>
      </c>
      <c r="D515" s="831"/>
      <c r="E515" s="831"/>
      <c r="F515" s="832"/>
    </row>
    <row r="516" spans="1:8">
      <c r="A516" s="2136" t="s">
        <v>1210</v>
      </c>
      <c r="B516" s="2137"/>
      <c r="C516" s="2137"/>
      <c r="D516" s="2137"/>
      <c r="E516" s="2137"/>
      <c r="F516" s="2138"/>
    </row>
    <row r="517" spans="1:8" ht="30">
      <c r="A517" s="80"/>
      <c r="B517" s="81" t="s">
        <v>50</v>
      </c>
      <c r="C517" s="82" t="s">
        <v>51</v>
      </c>
      <c r="D517" s="83" t="s">
        <v>52</v>
      </c>
      <c r="E517" s="84" t="s">
        <v>53</v>
      </c>
      <c r="F517" s="85" t="s">
        <v>54</v>
      </c>
    </row>
    <row r="518" spans="1:8">
      <c r="A518" s="157">
        <v>88264</v>
      </c>
      <c r="B518" s="103" t="s">
        <v>94</v>
      </c>
      <c r="C518" s="99" t="s">
        <v>59</v>
      </c>
      <c r="D518" s="226">
        <v>0.03</v>
      </c>
      <c r="E518" s="223">
        <v>20.6</v>
      </c>
      <c r="F518" s="470">
        <f>TRUNC(D518*E518,2)</f>
        <v>0.61</v>
      </c>
    </row>
    <row r="519" spans="1:8" ht="25.5">
      <c r="A519" s="86">
        <v>88247</v>
      </c>
      <c r="B519" s="103" t="s">
        <v>93</v>
      </c>
      <c r="C519" s="99" t="s">
        <v>59</v>
      </c>
      <c r="D519" s="226">
        <v>0.03</v>
      </c>
      <c r="E519" s="1610">
        <v>15.61</v>
      </c>
      <c r="F519" s="470">
        <f>TRUNC(D519*E519,2)</f>
        <v>0.46</v>
      </c>
    </row>
    <row r="520" spans="1:8">
      <c r="A520" s="803"/>
      <c r="B520" s="218"/>
      <c r="C520" s="89"/>
      <c r="D520" s="90"/>
      <c r="E520" s="1611" t="s">
        <v>60</v>
      </c>
      <c r="F520" s="472">
        <f>SUM(F518:F519)</f>
        <v>1.07</v>
      </c>
    </row>
    <row r="521" spans="1:8" ht="30.75" thickBot="1">
      <c r="A521" s="1741"/>
      <c r="B521" s="1806" t="s">
        <v>95</v>
      </c>
      <c r="C521" s="1735" t="s">
        <v>51</v>
      </c>
      <c r="D521" s="1736" t="s">
        <v>52</v>
      </c>
      <c r="E521" s="1807" t="s">
        <v>64</v>
      </c>
      <c r="F521" s="1650" t="s">
        <v>54</v>
      </c>
    </row>
    <row r="522" spans="1:8">
      <c r="A522" s="1737">
        <v>7543</v>
      </c>
      <c r="B522" s="1738" t="s">
        <v>1206</v>
      </c>
      <c r="C522" s="1599" t="s">
        <v>57</v>
      </c>
      <c r="D522" s="1808">
        <v>1</v>
      </c>
      <c r="E522" s="1809">
        <v>3.94</v>
      </c>
      <c r="F522" s="1810">
        <f>TRUNC(D522*E522,2)</f>
        <v>3.94</v>
      </c>
    </row>
    <row r="523" spans="1:8">
      <c r="A523" s="672"/>
      <c r="B523" s="815"/>
      <c r="C523" s="89"/>
      <c r="D523" s="90"/>
      <c r="E523" s="295" t="s">
        <v>60</v>
      </c>
      <c r="F523" s="403">
        <f>SUM(F522:F522)</f>
        <v>3.94</v>
      </c>
    </row>
    <row r="524" spans="1:8" ht="15.75" thickBot="1">
      <c r="A524" s="825"/>
      <c r="B524" s="2135" t="s">
        <v>55</v>
      </c>
      <c r="C524" s="2135"/>
      <c r="D524" s="2135"/>
      <c r="E524" s="2135"/>
      <c r="F524" s="1656">
        <f>F520+F523</f>
        <v>5.01</v>
      </c>
    </row>
    <row r="525" spans="1:8" ht="15.75" thickBot="1">
      <c r="A525" s="298"/>
      <c r="B525" s="1626"/>
      <c r="C525" s="770"/>
      <c r="D525" s="201"/>
      <c r="E525" s="201"/>
      <c r="F525" s="298"/>
    </row>
    <row r="526" spans="1:8" ht="26.25" thickBot="1">
      <c r="A526" s="467" t="s">
        <v>2403</v>
      </c>
      <c r="B526" s="468" t="s">
        <v>1137</v>
      </c>
      <c r="C526" s="188" t="s">
        <v>57</v>
      </c>
      <c r="D526" s="219"/>
      <c r="E526" s="219"/>
      <c r="F526" s="220"/>
    </row>
    <row r="527" spans="1:8" ht="15" customHeight="1">
      <c r="A527" s="2139" t="s">
        <v>2428</v>
      </c>
      <c r="B527" s="2140"/>
      <c r="C527" s="2140"/>
      <c r="D527" s="2140"/>
      <c r="E527" s="2140"/>
      <c r="F527" s="2141"/>
      <c r="H527" s="469" t="s">
        <v>412</v>
      </c>
    </row>
    <row r="528" spans="1:8" ht="30">
      <c r="A528" s="80"/>
      <c r="B528" s="81" t="s">
        <v>50</v>
      </c>
      <c r="C528" s="82" t="s">
        <v>51</v>
      </c>
      <c r="D528" s="83" t="s">
        <v>52</v>
      </c>
      <c r="E528" s="84" t="s">
        <v>53</v>
      </c>
      <c r="F528" s="85" t="s">
        <v>54</v>
      </c>
    </row>
    <row r="529" spans="1:10">
      <c r="A529" s="145">
        <v>88266</v>
      </c>
      <c r="B529" s="204" t="s">
        <v>2429</v>
      </c>
      <c r="C529" s="99" t="s">
        <v>59</v>
      </c>
      <c r="D529" s="226">
        <v>38.267000000000003</v>
      </c>
      <c r="E529" s="223">
        <v>20.7</v>
      </c>
      <c r="F529" s="470">
        <f>TRUNC(D529*E529,2)</f>
        <v>792.12</v>
      </c>
    </row>
    <row r="530" spans="1:10">
      <c r="A530" s="145">
        <v>88264</v>
      </c>
      <c r="B530" s="204" t="s">
        <v>94</v>
      </c>
      <c r="C530" s="99" t="s">
        <v>59</v>
      </c>
      <c r="D530" s="226">
        <v>23.385000000000002</v>
      </c>
      <c r="E530" s="1610">
        <v>20.6</v>
      </c>
      <c r="F530" s="470">
        <f t="shared" ref="F530:F531" si="3">TRUNC(D530*E530,2)</f>
        <v>481.73</v>
      </c>
    </row>
    <row r="531" spans="1:10" ht="25.5">
      <c r="A531" s="145">
        <v>88247</v>
      </c>
      <c r="B531" s="204" t="s">
        <v>93</v>
      </c>
      <c r="C531" s="99" t="s">
        <v>59</v>
      </c>
      <c r="D531" s="226">
        <v>44.643999999999998</v>
      </c>
      <c r="E531" s="1610">
        <v>15.61</v>
      </c>
      <c r="F531" s="470">
        <f t="shared" si="3"/>
        <v>696.89</v>
      </c>
    </row>
    <row r="532" spans="1:10">
      <c r="A532" s="803"/>
      <c r="B532" s="218"/>
      <c r="C532" s="89"/>
      <c r="D532" s="90"/>
      <c r="E532" s="1611" t="s">
        <v>60</v>
      </c>
      <c r="F532" s="91">
        <f>SUM(F529:F531)</f>
        <v>1970.7399999999998</v>
      </c>
    </row>
    <row r="533" spans="1:10" ht="30">
      <c r="A533" s="97"/>
      <c r="B533" s="1593" t="s">
        <v>95</v>
      </c>
      <c r="C533" s="94" t="s">
        <v>51</v>
      </c>
      <c r="D533" s="95" t="s">
        <v>52</v>
      </c>
      <c r="E533" s="107" t="s">
        <v>64</v>
      </c>
      <c r="F533" s="96" t="s">
        <v>54</v>
      </c>
    </row>
    <row r="534" spans="1:10" ht="25.5">
      <c r="A534" s="145" t="s">
        <v>67</v>
      </c>
      <c r="B534" s="204" t="s">
        <v>2430</v>
      </c>
      <c r="C534" s="99" t="s">
        <v>57</v>
      </c>
      <c r="D534" s="108">
        <v>1</v>
      </c>
      <c r="E534" s="1612">
        <v>1304.8800000000001</v>
      </c>
      <c r="F534" s="88">
        <f>TRUNC(D534*E534,2)</f>
        <v>1304.8800000000001</v>
      </c>
    </row>
    <row r="535" spans="1:10" ht="15.75" thickBot="1">
      <c r="A535" s="1614"/>
      <c r="B535" s="1615"/>
      <c r="C535" s="1616"/>
      <c r="D535" s="1617"/>
      <c r="E535" s="1611" t="s">
        <v>60</v>
      </c>
      <c r="F535" s="1618">
        <f>SUM(F532,F534)</f>
        <v>3275.62</v>
      </c>
    </row>
    <row r="536" spans="1:10" ht="15.75" thickBot="1">
      <c r="A536" s="193"/>
      <c r="B536" s="2142" t="s">
        <v>55</v>
      </c>
      <c r="C536" s="2143"/>
      <c r="D536" s="2143"/>
      <c r="E536" s="2144"/>
      <c r="F536" s="196">
        <f>F532+F535</f>
        <v>5246.36</v>
      </c>
    </row>
    <row r="537" spans="1:10">
      <c r="A537" s="194"/>
      <c r="B537" s="2145" t="s">
        <v>96</v>
      </c>
      <c r="C537" s="2146"/>
      <c r="D537" s="2146"/>
      <c r="E537" s="2147"/>
      <c r="F537" s="195"/>
    </row>
    <row r="538" spans="1:10" ht="25.5">
      <c r="A538" s="163" t="s">
        <v>61</v>
      </c>
      <c r="B538" s="107" t="s">
        <v>97</v>
      </c>
      <c r="C538" s="294" t="s">
        <v>98</v>
      </c>
      <c r="D538" s="2148" t="s">
        <v>62</v>
      </c>
      <c r="E538" s="2149"/>
      <c r="F538" s="164" t="s">
        <v>99</v>
      </c>
    </row>
    <row r="539" spans="1:10" ht="25.5">
      <c r="A539" s="222">
        <v>44386</v>
      </c>
      <c r="B539" s="204" t="s">
        <v>2340</v>
      </c>
      <c r="C539" s="202">
        <v>2667.31</v>
      </c>
      <c r="D539" s="2061" t="s">
        <v>2341</v>
      </c>
      <c r="E539" s="2062"/>
      <c r="F539" s="148" t="s">
        <v>2342</v>
      </c>
    </row>
    <row r="540" spans="1:10">
      <c r="A540" s="222">
        <v>44404</v>
      </c>
      <c r="B540" s="204" t="s">
        <v>2431</v>
      </c>
      <c r="C540" s="202">
        <v>1252.07</v>
      </c>
      <c r="D540" s="2061" t="s">
        <v>2432</v>
      </c>
      <c r="E540" s="2062"/>
      <c r="F540" s="1575" t="s">
        <v>2433</v>
      </c>
      <c r="I540" s="1652" t="s">
        <v>2434</v>
      </c>
      <c r="J540" s="568">
        <f>899+353.07</f>
        <v>1252.07</v>
      </c>
    </row>
    <row r="541" spans="1:10" ht="30">
      <c r="A541" s="222">
        <v>44403</v>
      </c>
      <c r="B541" s="204" t="s">
        <v>2357</v>
      </c>
      <c r="C541" s="202">
        <v>1304.8800000000001</v>
      </c>
      <c r="D541" s="2061" t="s">
        <v>2358</v>
      </c>
      <c r="E541" s="2062"/>
      <c r="F541" s="1575" t="s">
        <v>2359</v>
      </c>
      <c r="I541" s="1652" t="s">
        <v>2435</v>
      </c>
      <c r="J541" s="568">
        <f>951.81+353.07</f>
        <v>1304.8799999999999</v>
      </c>
    </row>
    <row r="542" spans="1:10" ht="15.75" thickBot="1">
      <c r="A542" s="149"/>
      <c r="B542" s="312" t="s">
        <v>63</v>
      </c>
      <c r="C542" s="150">
        <f>MEDIAN(C539:C541)</f>
        <v>1304.8800000000001</v>
      </c>
      <c r="D542" s="2079"/>
      <c r="E542" s="2080"/>
      <c r="F542" s="151"/>
    </row>
    <row r="543" spans="1:10">
      <c r="A543" s="194"/>
      <c r="B543" s="2145" t="s">
        <v>2436</v>
      </c>
      <c r="C543" s="2146"/>
      <c r="D543" s="2146"/>
      <c r="E543" s="2147"/>
      <c r="F543" s="195"/>
    </row>
    <row r="544" spans="1:10" ht="25.5">
      <c r="A544" s="163" t="s">
        <v>61</v>
      </c>
      <c r="B544" s="107" t="s">
        <v>97</v>
      </c>
      <c r="C544" s="294" t="s">
        <v>98</v>
      </c>
      <c r="D544" s="2148" t="s">
        <v>62</v>
      </c>
      <c r="E544" s="2149"/>
      <c r="F544" s="164" t="s">
        <v>99</v>
      </c>
    </row>
    <row r="545" spans="1:10">
      <c r="A545" s="222">
        <v>44403</v>
      </c>
      <c r="B545" s="204" t="s">
        <v>2357</v>
      </c>
      <c r="C545" s="202">
        <v>353.07</v>
      </c>
      <c r="D545" s="2061" t="s">
        <v>2358</v>
      </c>
      <c r="E545" s="2062"/>
      <c r="F545" s="1575" t="s">
        <v>2437</v>
      </c>
      <c r="I545" s="935" t="s">
        <v>2438</v>
      </c>
      <c r="J545" s="568">
        <f>303.91+49.16</f>
        <v>353.07000000000005</v>
      </c>
    </row>
    <row r="546" spans="1:10">
      <c r="A546" s="222">
        <v>44404</v>
      </c>
      <c r="B546" s="204" t="s">
        <v>2439</v>
      </c>
      <c r="C546" s="202">
        <v>599.5</v>
      </c>
      <c r="D546" s="2061" t="s">
        <v>2440</v>
      </c>
      <c r="E546" s="2062"/>
      <c r="F546" s="1575" t="s">
        <v>2441</v>
      </c>
    </row>
    <row r="547" spans="1:10" ht="15.75" thickBot="1">
      <c r="A547" s="149"/>
      <c r="B547" s="880" t="s">
        <v>2442</v>
      </c>
      <c r="C547" s="1653">
        <f>C545</f>
        <v>353.07</v>
      </c>
      <c r="D547" s="2079"/>
      <c r="E547" s="2080"/>
      <c r="F547" s="151"/>
    </row>
    <row r="548" spans="1:10" ht="15.75" thickBot="1">
      <c r="A548" s="298"/>
      <c r="B548" s="1626"/>
      <c r="C548" s="770"/>
      <c r="D548" s="201"/>
      <c r="E548" s="201"/>
      <c r="F548" s="298"/>
    </row>
    <row r="549" spans="1:10" ht="15.75" thickBot="1">
      <c r="A549" s="467" t="s">
        <v>2400</v>
      </c>
      <c r="B549" s="468" t="s">
        <v>2424</v>
      </c>
      <c r="C549" s="188" t="s">
        <v>56</v>
      </c>
      <c r="D549" s="219"/>
      <c r="E549" s="219"/>
      <c r="F549" s="220"/>
    </row>
    <row r="550" spans="1:10">
      <c r="A550" s="2139" t="s">
        <v>2425</v>
      </c>
      <c r="B550" s="2140"/>
      <c r="C550" s="2140"/>
      <c r="D550" s="2140"/>
      <c r="E550" s="2140"/>
      <c r="F550" s="2141"/>
    </row>
    <row r="551" spans="1:10" ht="30">
      <c r="A551" s="80"/>
      <c r="B551" s="81" t="s">
        <v>50</v>
      </c>
      <c r="C551" s="82" t="s">
        <v>51</v>
      </c>
      <c r="D551" s="83" t="s">
        <v>52</v>
      </c>
      <c r="E551" s="84" t="s">
        <v>53</v>
      </c>
      <c r="F551" s="85" t="s">
        <v>54</v>
      </c>
    </row>
    <row r="552" spans="1:10">
      <c r="A552" s="157">
        <v>88264</v>
      </c>
      <c r="B552" s="103" t="s">
        <v>94</v>
      </c>
      <c r="C552" s="99" t="s">
        <v>59</v>
      </c>
      <c r="D552" s="226">
        <v>0.15</v>
      </c>
      <c r="E552" s="223">
        <v>20.6</v>
      </c>
      <c r="F552" s="470">
        <f>TRUNC(D552*E552,2)</f>
        <v>3.09</v>
      </c>
    </row>
    <row r="553" spans="1:10" ht="25.5">
      <c r="A553" s="86">
        <v>88247</v>
      </c>
      <c r="B553" s="103" t="s">
        <v>93</v>
      </c>
      <c r="C553" s="99" t="s">
        <v>59</v>
      </c>
      <c r="D553" s="226">
        <v>0.15</v>
      </c>
      <c r="E553" s="1610">
        <v>15.61</v>
      </c>
      <c r="F553" s="470">
        <f>TRUNC(D553*E553,2)</f>
        <v>2.34</v>
      </c>
    </row>
    <row r="554" spans="1:10">
      <c r="A554" s="803"/>
      <c r="B554" s="218"/>
      <c r="C554" s="89"/>
      <c r="D554" s="90"/>
      <c r="E554" s="1611" t="s">
        <v>60</v>
      </c>
      <c r="F554" s="472">
        <f>SUM(F552:F553)</f>
        <v>5.43</v>
      </c>
    </row>
    <row r="555" spans="1:10" ht="30">
      <c r="A555" s="97"/>
      <c r="B555" s="1593" t="s">
        <v>95</v>
      </c>
      <c r="C555" s="94" t="s">
        <v>51</v>
      </c>
      <c r="D555" s="95" t="s">
        <v>52</v>
      </c>
      <c r="E555" s="107" t="s">
        <v>64</v>
      </c>
      <c r="F555" s="96" t="s">
        <v>54</v>
      </c>
    </row>
    <row r="556" spans="1:10">
      <c r="A556" s="86" t="s">
        <v>67</v>
      </c>
      <c r="B556" s="204" t="s">
        <v>2426</v>
      </c>
      <c r="C556" s="99" t="s">
        <v>56</v>
      </c>
      <c r="D556" s="471">
        <v>1</v>
      </c>
      <c r="E556" s="1610">
        <v>3.36</v>
      </c>
      <c r="F556" s="470">
        <f>TRUNC(D556*E556,2)</f>
        <v>3.36</v>
      </c>
    </row>
    <row r="557" spans="1:10" ht="15.75" thickBot="1">
      <c r="A557" s="1614"/>
      <c r="B557" s="1615"/>
      <c r="C557" s="1616"/>
      <c r="D557" s="1617"/>
      <c r="E557" s="1611" t="s">
        <v>60</v>
      </c>
      <c r="F557" s="1651">
        <f>SUM(F556:F556)</f>
        <v>3.36</v>
      </c>
    </row>
    <row r="558" spans="1:10" ht="15.75" thickBot="1">
      <c r="A558" s="193"/>
      <c r="B558" s="2150" t="s">
        <v>55</v>
      </c>
      <c r="C558" s="2150"/>
      <c r="D558" s="2150"/>
      <c r="E558" s="2150"/>
      <c r="F558" s="475">
        <f>F554+F557</f>
        <v>8.7899999999999991</v>
      </c>
    </row>
    <row r="559" spans="1:10">
      <c r="A559" s="194"/>
      <c r="B559" s="2076" t="s">
        <v>96</v>
      </c>
      <c r="C559" s="2077"/>
      <c r="D559" s="2077"/>
      <c r="E559" s="2078"/>
      <c r="F559" s="195"/>
    </row>
    <row r="560" spans="1:10" ht="25.5">
      <c r="A560" s="163" t="s">
        <v>61</v>
      </c>
      <c r="B560" s="107" t="s">
        <v>97</v>
      </c>
      <c r="C560" s="294" t="s">
        <v>98</v>
      </c>
      <c r="D560" s="2060" t="s">
        <v>62</v>
      </c>
      <c r="E560" s="2060"/>
      <c r="F560" s="164" t="s">
        <v>99</v>
      </c>
    </row>
    <row r="561" spans="1:10" ht="25.5">
      <c r="A561" s="222">
        <v>44397</v>
      </c>
      <c r="B561" s="204" t="s">
        <v>473</v>
      </c>
      <c r="C561" s="202">
        <v>3.36</v>
      </c>
      <c r="D561" s="2061" t="s">
        <v>474</v>
      </c>
      <c r="E561" s="2062"/>
      <c r="F561" s="148" t="s">
        <v>2335</v>
      </c>
    </row>
    <row r="562" spans="1:10" ht="25.5">
      <c r="A562" s="222">
        <v>44397</v>
      </c>
      <c r="B562" s="204" t="s">
        <v>2343</v>
      </c>
      <c r="C562" s="202">
        <v>2.73</v>
      </c>
      <c r="D562" s="2061" t="s">
        <v>2344</v>
      </c>
      <c r="E562" s="2062"/>
      <c r="F562" s="148" t="s">
        <v>2345</v>
      </c>
      <c r="I562" s="935" t="s">
        <v>2427</v>
      </c>
      <c r="J562" s="321">
        <f>832/305</f>
        <v>2.7278688524590162</v>
      </c>
    </row>
    <row r="563" spans="1:10" ht="25.5">
      <c r="A563" s="222">
        <v>44386</v>
      </c>
      <c r="B563" s="204" t="s">
        <v>2340</v>
      </c>
      <c r="C563" s="202">
        <v>4.93</v>
      </c>
      <c r="D563" s="2061" t="s">
        <v>2341</v>
      </c>
      <c r="E563" s="2062"/>
      <c r="F563" s="148" t="s">
        <v>2342</v>
      </c>
    </row>
    <row r="564" spans="1:10" ht="15.75" thickBot="1">
      <c r="A564" s="149"/>
      <c r="B564" s="312" t="s">
        <v>63</v>
      </c>
      <c r="C564" s="150">
        <f>MEDIAN(C561:C563)</f>
        <v>3.36</v>
      </c>
      <c r="D564" s="2079"/>
      <c r="E564" s="2080"/>
      <c r="F564" s="151"/>
    </row>
    <row r="565" spans="1:10" ht="15.75" thickBot="1">
      <c r="A565" s="298"/>
      <c r="B565" s="1626"/>
      <c r="C565" s="770"/>
      <c r="D565" s="201"/>
      <c r="E565" s="201"/>
      <c r="F565" s="298"/>
    </row>
    <row r="566" spans="1:10">
      <c r="A566" s="419" t="s">
        <v>2446</v>
      </c>
      <c r="B566" s="830" t="s">
        <v>2399</v>
      </c>
      <c r="C566" s="159" t="s">
        <v>57</v>
      </c>
      <c r="D566" s="831"/>
      <c r="E566" s="831"/>
      <c r="F566" s="832"/>
    </row>
    <row r="567" spans="1:10" ht="15" customHeight="1">
      <c r="A567" s="2136" t="s">
        <v>1210</v>
      </c>
      <c r="B567" s="2137"/>
      <c r="C567" s="2137"/>
      <c r="D567" s="2137"/>
      <c r="E567" s="2137"/>
      <c r="F567" s="2138"/>
    </row>
    <row r="568" spans="1:10" ht="30">
      <c r="A568" s="80"/>
      <c r="B568" s="81" t="s">
        <v>50</v>
      </c>
      <c r="C568" s="82" t="s">
        <v>51</v>
      </c>
      <c r="D568" s="83" t="s">
        <v>52</v>
      </c>
      <c r="E568" s="84" t="s">
        <v>53</v>
      </c>
      <c r="F568" s="85" t="s">
        <v>54</v>
      </c>
    </row>
    <row r="569" spans="1:10">
      <c r="A569" s="157">
        <v>88264</v>
      </c>
      <c r="B569" s="103" t="s">
        <v>94</v>
      </c>
      <c r="C569" s="99" t="s">
        <v>59</v>
      </c>
      <c r="D569" s="225">
        <v>0.3523</v>
      </c>
      <c r="E569" s="223">
        <v>20.6</v>
      </c>
      <c r="F569" s="470">
        <f>TRUNC(D569*E569,2)</f>
        <v>7.25</v>
      </c>
    </row>
    <row r="570" spans="1:10" ht="25.5">
      <c r="A570" s="86">
        <v>88247</v>
      </c>
      <c r="B570" s="103" t="s">
        <v>93</v>
      </c>
      <c r="C570" s="99" t="s">
        <v>59</v>
      </c>
      <c r="D570" s="225">
        <v>0.3523</v>
      </c>
      <c r="E570" s="1610">
        <v>15.61</v>
      </c>
      <c r="F570" s="470">
        <f>TRUNC(D570*E570,2)</f>
        <v>5.49</v>
      </c>
    </row>
    <row r="571" spans="1:10">
      <c r="A571" s="803"/>
      <c r="B571" s="218"/>
      <c r="C571" s="89"/>
      <c r="D571" s="90"/>
      <c r="E571" s="1611" t="s">
        <v>60</v>
      </c>
      <c r="F571" s="472">
        <f>SUM(F569:F570)</f>
        <v>12.74</v>
      </c>
    </row>
    <row r="572" spans="1:10" ht="30">
      <c r="A572" s="97"/>
      <c r="B572" s="1593" t="s">
        <v>95</v>
      </c>
      <c r="C572" s="94" t="s">
        <v>51</v>
      </c>
      <c r="D572" s="95" t="s">
        <v>52</v>
      </c>
      <c r="E572" s="107" t="s">
        <v>64</v>
      </c>
      <c r="F572" s="96" t="s">
        <v>54</v>
      </c>
    </row>
    <row r="573" spans="1:10">
      <c r="A573" s="388">
        <v>39331</v>
      </c>
      <c r="B573" s="204" t="s">
        <v>2444</v>
      </c>
      <c r="C573" s="99" t="s">
        <v>57</v>
      </c>
      <c r="D573" s="471">
        <v>1</v>
      </c>
      <c r="E573" s="1610">
        <v>7.19</v>
      </c>
      <c r="F573" s="470">
        <f>TRUNC(D573*E573,2)</f>
        <v>7.19</v>
      </c>
    </row>
    <row r="574" spans="1:10" ht="39" thickBot="1">
      <c r="A574" s="1775">
        <v>11950</v>
      </c>
      <c r="B574" s="1577" t="s">
        <v>2414</v>
      </c>
      <c r="C574" s="1597" t="s">
        <v>57</v>
      </c>
      <c r="D574" s="1811">
        <v>2</v>
      </c>
      <c r="E574" s="1675">
        <v>0.22</v>
      </c>
      <c r="F574" s="1812">
        <f>TRUNC(D574*E574,2)</f>
        <v>0.44</v>
      </c>
    </row>
    <row r="575" spans="1:10">
      <c r="A575" s="1813"/>
      <c r="B575" s="1814"/>
      <c r="C575" s="1782"/>
      <c r="D575" s="1783"/>
      <c r="E575" s="1815" t="s">
        <v>60</v>
      </c>
      <c r="F575" s="1816">
        <f>SUM(F573:F574)</f>
        <v>7.6300000000000008</v>
      </c>
    </row>
    <row r="576" spans="1:10" ht="15.75" thickBot="1">
      <c r="A576" s="825"/>
      <c r="B576" s="2135" t="s">
        <v>55</v>
      </c>
      <c r="C576" s="2135"/>
      <c r="D576" s="2135"/>
      <c r="E576" s="2135"/>
      <c r="F576" s="1656">
        <f>F571+F575</f>
        <v>20.37</v>
      </c>
    </row>
    <row r="577" spans="1:6" ht="15.75" thickBot="1">
      <c r="A577" s="298"/>
      <c r="B577" s="1626"/>
      <c r="C577" s="770"/>
      <c r="D577" s="201"/>
      <c r="E577" s="201"/>
      <c r="F577" s="298"/>
    </row>
    <row r="578" spans="1:6">
      <c r="A578" s="419" t="s">
        <v>2447</v>
      </c>
      <c r="B578" s="830" t="s">
        <v>2405</v>
      </c>
      <c r="C578" s="159" t="s">
        <v>57</v>
      </c>
      <c r="D578" s="831"/>
      <c r="E578" s="831"/>
      <c r="F578" s="832"/>
    </row>
    <row r="579" spans="1:6" ht="15" customHeight="1">
      <c r="A579" s="2136" t="s">
        <v>1210</v>
      </c>
      <c r="B579" s="2137"/>
      <c r="C579" s="2137"/>
      <c r="D579" s="2137"/>
      <c r="E579" s="2137"/>
      <c r="F579" s="2138"/>
    </row>
    <row r="580" spans="1:6" ht="30">
      <c r="A580" s="80"/>
      <c r="B580" s="81" t="s">
        <v>50</v>
      </c>
      <c r="C580" s="82" t="s">
        <v>51</v>
      </c>
      <c r="D580" s="83" t="s">
        <v>52</v>
      </c>
      <c r="E580" s="84" t="s">
        <v>53</v>
      </c>
      <c r="F580" s="85" t="s">
        <v>54</v>
      </c>
    </row>
    <row r="581" spans="1:6">
      <c r="A581" s="157">
        <v>88264</v>
      </c>
      <c r="B581" s="103" t="s">
        <v>94</v>
      </c>
      <c r="C581" s="99" t="s">
        <v>59</v>
      </c>
      <c r="D581" s="225">
        <v>0.3523</v>
      </c>
      <c r="E581" s="223">
        <v>20.6</v>
      </c>
      <c r="F581" s="470">
        <f>TRUNC(D581*E581,2)</f>
        <v>7.25</v>
      </c>
    </row>
    <row r="582" spans="1:6" ht="25.5">
      <c r="A582" s="86">
        <v>88247</v>
      </c>
      <c r="B582" s="103" t="s">
        <v>93</v>
      </c>
      <c r="C582" s="99" t="s">
        <v>59</v>
      </c>
      <c r="D582" s="225">
        <v>0.3523</v>
      </c>
      <c r="E582" s="1610">
        <v>15.61</v>
      </c>
      <c r="F582" s="470">
        <f>TRUNC(D582*E582,2)</f>
        <v>5.49</v>
      </c>
    </row>
    <row r="583" spans="1:6">
      <c r="A583" s="803"/>
      <c r="B583" s="218"/>
      <c r="C583" s="89"/>
      <c r="D583" s="90"/>
      <c r="E583" s="1611" t="s">
        <v>60</v>
      </c>
      <c r="F583" s="472">
        <f>SUM(F581:F582)</f>
        <v>12.74</v>
      </c>
    </row>
    <row r="584" spans="1:6" ht="30">
      <c r="A584" s="97"/>
      <c r="B584" s="1593" t="s">
        <v>95</v>
      </c>
      <c r="C584" s="94" t="s">
        <v>51</v>
      </c>
      <c r="D584" s="95" t="s">
        <v>52</v>
      </c>
      <c r="E584" s="107" t="s">
        <v>64</v>
      </c>
      <c r="F584" s="96" t="s">
        <v>54</v>
      </c>
    </row>
    <row r="585" spans="1:6">
      <c r="A585" s="388">
        <v>39337</v>
      </c>
      <c r="B585" s="778" t="s">
        <v>2445</v>
      </c>
      <c r="C585" s="99" t="s">
        <v>57</v>
      </c>
      <c r="D585" s="471">
        <v>1</v>
      </c>
      <c r="E585" s="1610">
        <v>7.19</v>
      </c>
      <c r="F585" s="470">
        <f>TRUNC(D585*E585,2)</f>
        <v>7.19</v>
      </c>
    </row>
    <row r="586" spans="1:6" ht="38.25">
      <c r="A586" s="388">
        <v>11950</v>
      </c>
      <c r="B586" s="204" t="s">
        <v>2414</v>
      </c>
      <c r="C586" s="99" t="s">
        <v>57</v>
      </c>
      <c r="D586" s="471">
        <v>2</v>
      </c>
      <c r="E586" s="1610">
        <v>0.22</v>
      </c>
      <c r="F586" s="470">
        <f>TRUNC(D586*E586,2)</f>
        <v>0.44</v>
      </c>
    </row>
    <row r="587" spans="1:6">
      <c r="A587" s="672"/>
      <c r="B587" s="815"/>
      <c r="C587" s="89"/>
      <c r="D587" s="90"/>
      <c r="E587" s="295" t="s">
        <v>60</v>
      </c>
      <c r="F587" s="403">
        <f>SUM(F585:F586)</f>
        <v>7.6300000000000008</v>
      </c>
    </row>
    <row r="588" spans="1:6" ht="15.75" thickBot="1">
      <c r="A588" s="825"/>
      <c r="B588" s="2135" t="s">
        <v>55</v>
      </c>
      <c r="C588" s="2135"/>
      <c r="D588" s="2135"/>
      <c r="E588" s="2135"/>
      <c r="F588" s="1656">
        <f>F583+F587</f>
        <v>20.37</v>
      </c>
    </row>
    <row r="589" spans="1:6" ht="15.75" thickBot="1">
      <c r="A589" s="298"/>
      <c r="B589" s="1626"/>
      <c r="C589" s="770"/>
      <c r="D589" s="201"/>
      <c r="E589" s="201"/>
      <c r="F589" s="298"/>
    </row>
    <row r="590" spans="1:6">
      <c r="A590" s="419" t="s">
        <v>2449</v>
      </c>
      <c r="B590" s="830" t="s">
        <v>2402</v>
      </c>
      <c r="C590" s="159" t="s">
        <v>57</v>
      </c>
      <c r="D590" s="831"/>
      <c r="E590" s="831"/>
      <c r="F590" s="832"/>
    </row>
    <row r="591" spans="1:6" ht="15" customHeight="1">
      <c r="A591" s="2136" t="s">
        <v>1210</v>
      </c>
      <c r="B591" s="2137"/>
      <c r="C591" s="2137"/>
      <c r="D591" s="2137"/>
      <c r="E591" s="2137"/>
      <c r="F591" s="2138"/>
    </row>
    <row r="592" spans="1:6" ht="30">
      <c r="A592" s="80"/>
      <c r="B592" s="81" t="s">
        <v>50</v>
      </c>
      <c r="C592" s="82" t="s">
        <v>51</v>
      </c>
      <c r="D592" s="83" t="s">
        <v>52</v>
      </c>
      <c r="E592" s="84" t="s">
        <v>53</v>
      </c>
      <c r="F592" s="85" t="s">
        <v>54</v>
      </c>
    </row>
    <row r="593" spans="1:6">
      <c r="A593" s="157">
        <v>88264</v>
      </c>
      <c r="B593" s="103" t="s">
        <v>94</v>
      </c>
      <c r="C593" s="99" t="s">
        <v>59</v>
      </c>
      <c r="D593" s="225">
        <v>0.3523</v>
      </c>
      <c r="E593" s="223">
        <v>20.6</v>
      </c>
      <c r="F593" s="470">
        <f>TRUNC(D593*E593,2)</f>
        <v>7.25</v>
      </c>
    </row>
    <row r="594" spans="1:6" ht="25.5">
      <c r="A594" s="86">
        <v>88247</v>
      </c>
      <c r="B594" s="103" t="s">
        <v>93</v>
      </c>
      <c r="C594" s="99" t="s">
        <v>59</v>
      </c>
      <c r="D594" s="225">
        <v>0.3523</v>
      </c>
      <c r="E594" s="1610">
        <v>15.61</v>
      </c>
      <c r="F594" s="470">
        <f>TRUNC(D594*E594,2)</f>
        <v>5.49</v>
      </c>
    </row>
    <row r="595" spans="1:6">
      <c r="A595" s="803"/>
      <c r="B595" s="218"/>
      <c r="C595" s="89"/>
      <c r="D595" s="90"/>
      <c r="E595" s="1611" t="s">
        <v>60</v>
      </c>
      <c r="F595" s="472">
        <f>SUM(F593:F594)</f>
        <v>12.74</v>
      </c>
    </row>
    <row r="596" spans="1:6" ht="30">
      <c r="A596" s="97"/>
      <c r="B596" s="1593" t="s">
        <v>95</v>
      </c>
      <c r="C596" s="94" t="s">
        <v>51</v>
      </c>
      <c r="D596" s="95" t="s">
        <v>52</v>
      </c>
      <c r="E596" s="107" t="s">
        <v>64</v>
      </c>
      <c r="F596" s="96" t="s">
        <v>54</v>
      </c>
    </row>
    <row r="597" spans="1:6">
      <c r="A597" s="388">
        <v>39337</v>
      </c>
      <c r="B597" s="204" t="s">
        <v>2445</v>
      </c>
      <c r="C597" s="99" t="s">
        <v>57</v>
      </c>
      <c r="D597" s="471">
        <v>1</v>
      </c>
      <c r="E597" s="1610">
        <v>7.19</v>
      </c>
      <c r="F597" s="470">
        <f>TRUNC(D597*E597,2)</f>
        <v>7.19</v>
      </c>
    </row>
    <row r="598" spans="1:6" ht="38.25">
      <c r="A598" s="388">
        <v>11950</v>
      </c>
      <c r="B598" s="204" t="s">
        <v>2414</v>
      </c>
      <c r="C598" s="99" t="s">
        <v>57</v>
      </c>
      <c r="D598" s="471">
        <v>2</v>
      </c>
      <c r="E598" s="1610">
        <v>0.22</v>
      </c>
      <c r="F598" s="470">
        <f>TRUNC(D598*E598,2)</f>
        <v>0.44</v>
      </c>
    </row>
    <row r="599" spans="1:6">
      <c r="A599" s="672"/>
      <c r="B599" s="815"/>
      <c r="C599" s="89"/>
      <c r="D599" s="90"/>
      <c r="E599" s="295" t="s">
        <v>60</v>
      </c>
      <c r="F599" s="403">
        <f>SUM(F597:F598)</f>
        <v>7.6300000000000008</v>
      </c>
    </row>
    <row r="600" spans="1:6" ht="15.75" thickBot="1">
      <c r="A600" s="825"/>
      <c r="B600" s="2135" t="s">
        <v>55</v>
      </c>
      <c r="C600" s="2135"/>
      <c r="D600" s="2135"/>
      <c r="E600" s="2135"/>
      <c r="F600" s="1656">
        <f>F595+F599</f>
        <v>20.37</v>
      </c>
    </row>
    <row r="601" spans="1:6" ht="15.75" thickBot="1">
      <c r="A601" s="522"/>
      <c r="B601" s="801"/>
      <c r="C601" s="801"/>
      <c r="D601" s="801"/>
      <c r="E601" s="801"/>
      <c r="F601" s="802"/>
    </row>
    <row r="602" spans="1:6">
      <c r="A602" s="419" t="s">
        <v>2450</v>
      </c>
      <c r="B602" s="830" t="s">
        <v>2404</v>
      </c>
      <c r="C602" s="159" t="s">
        <v>57</v>
      </c>
      <c r="D602" s="831"/>
      <c r="E602" s="831"/>
      <c r="F602" s="832"/>
    </row>
    <row r="603" spans="1:6" ht="15" customHeight="1">
      <c r="A603" s="2136" t="s">
        <v>1210</v>
      </c>
      <c r="B603" s="2137"/>
      <c r="C603" s="2137"/>
      <c r="D603" s="2137"/>
      <c r="E603" s="2137"/>
      <c r="F603" s="2138"/>
    </row>
    <row r="604" spans="1:6" ht="30">
      <c r="A604" s="80"/>
      <c r="B604" s="81" t="s">
        <v>50</v>
      </c>
      <c r="C604" s="82" t="s">
        <v>51</v>
      </c>
      <c r="D604" s="83" t="s">
        <v>52</v>
      </c>
      <c r="E604" s="84" t="s">
        <v>53</v>
      </c>
      <c r="F604" s="85" t="s">
        <v>54</v>
      </c>
    </row>
    <row r="605" spans="1:6">
      <c r="A605" s="157">
        <v>88264</v>
      </c>
      <c r="B605" s="103" t="s">
        <v>94</v>
      </c>
      <c r="C605" s="99" t="s">
        <v>59</v>
      </c>
      <c r="D605" s="225">
        <v>0.3523</v>
      </c>
      <c r="E605" s="223">
        <v>20.6</v>
      </c>
      <c r="F605" s="470">
        <f>TRUNC(D605*E605,2)</f>
        <v>7.25</v>
      </c>
    </row>
    <row r="606" spans="1:6" ht="25.5">
      <c r="A606" s="86">
        <v>88247</v>
      </c>
      <c r="B606" s="103" t="s">
        <v>93</v>
      </c>
      <c r="C606" s="99" t="s">
        <v>59</v>
      </c>
      <c r="D606" s="225">
        <v>0.3523</v>
      </c>
      <c r="E606" s="1610">
        <v>15.61</v>
      </c>
      <c r="F606" s="470">
        <f>TRUNC(D606*E606,2)</f>
        <v>5.49</v>
      </c>
    </row>
    <row r="607" spans="1:6">
      <c r="A607" s="803"/>
      <c r="B607" s="218"/>
      <c r="C607" s="89"/>
      <c r="D607" s="90"/>
      <c r="E607" s="1611" t="s">
        <v>60</v>
      </c>
      <c r="F607" s="472">
        <f>SUM(F605:F606)</f>
        <v>12.74</v>
      </c>
    </row>
    <row r="608" spans="1:6" ht="30">
      <c r="A608" s="97"/>
      <c r="B608" s="1593" t="s">
        <v>95</v>
      </c>
      <c r="C608" s="94" t="s">
        <v>51</v>
      </c>
      <c r="D608" s="95" t="s">
        <v>52</v>
      </c>
      <c r="E608" s="107" t="s">
        <v>64</v>
      </c>
      <c r="F608" s="96" t="s">
        <v>54</v>
      </c>
    </row>
    <row r="609" spans="1:9">
      <c r="A609" s="388">
        <v>39338</v>
      </c>
      <c r="B609" s="204" t="s">
        <v>2448</v>
      </c>
      <c r="C609" s="99" t="s">
        <v>57</v>
      </c>
      <c r="D609" s="471">
        <v>1</v>
      </c>
      <c r="E609" s="1610">
        <v>9.0299999999999994</v>
      </c>
      <c r="F609" s="470">
        <f>TRUNC(D609*E609,2)</f>
        <v>9.0299999999999994</v>
      </c>
    </row>
    <row r="610" spans="1:9" ht="38.25">
      <c r="A610" s="388">
        <v>11950</v>
      </c>
      <c r="B610" s="204" t="s">
        <v>2414</v>
      </c>
      <c r="C610" s="99" t="s">
        <v>57</v>
      </c>
      <c r="D610" s="471">
        <v>2</v>
      </c>
      <c r="E610" s="1610">
        <v>0.22</v>
      </c>
      <c r="F610" s="470">
        <f>TRUNC(D610*E610,2)</f>
        <v>0.44</v>
      </c>
    </row>
    <row r="611" spans="1:9">
      <c r="A611" s="672"/>
      <c r="B611" s="815"/>
      <c r="C611" s="89"/>
      <c r="D611" s="90"/>
      <c r="E611" s="295" t="s">
        <v>60</v>
      </c>
      <c r="F611" s="403">
        <f>SUM(F609:F610)</f>
        <v>9.4699999999999989</v>
      </c>
    </row>
    <row r="612" spans="1:9" ht="15.75" thickBot="1">
      <c r="A612" s="825"/>
      <c r="B612" s="2135" t="s">
        <v>55</v>
      </c>
      <c r="C612" s="2135"/>
      <c r="D612" s="2135"/>
      <c r="E612" s="2135"/>
      <c r="F612" s="1656">
        <f>F607+F611</f>
        <v>22.21</v>
      </c>
      <c r="I612" s="807"/>
    </row>
    <row r="613" spans="1:9" ht="15" customHeight="1" thickBot="1">
      <c r="A613" s="522"/>
      <c r="B613" s="801"/>
      <c r="C613" s="801"/>
      <c r="D613" s="801"/>
      <c r="E613" s="801"/>
      <c r="F613" s="802"/>
    </row>
    <row r="614" spans="1:9">
      <c r="A614" s="419" t="s">
        <v>2451</v>
      </c>
      <c r="B614" s="830" t="s">
        <v>2452</v>
      </c>
      <c r="C614" s="159" t="s">
        <v>57</v>
      </c>
      <c r="D614" s="831"/>
      <c r="E614" s="831"/>
      <c r="F614" s="832"/>
      <c r="H614" s="469"/>
    </row>
    <row r="615" spans="1:9" ht="15" customHeight="1">
      <c r="A615" s="2136" t="s">
        <v>1210</v>
      </c>
      <c r="B615" s="2137"/>
      <c r="C615" s="2137"/>
      <c r="D615" s="2137"/>
      <c r="E615" s="2137"/>
      <c r="F615" s="2138"/>
    </row>
    <row r="616" spans="1:9" ht="30">
      <c r="A616" s="80"/>
      <c r="B616" s="81" t="s">
        <v>50</v>
      </c>
      <c r="C616" s="82" t="s">
        <v>51</v>
      </c>
      <c r="D616" s="83" t="s">
        <v>52</v>
      </c>
      <c r="E616" s="84" t="s">
        <v>53</v>
      </c>
      <c r="F616" s="85" t="s">
        <v>54</v>
      </c>
    </row>
    <row r="617" spans="1:9">
      <c r="A617" s="157">
        <v>88264</v>
      </c>
      <c r="B617" s="103" t="s">
        <v>94</v>
      </c>
      <c r="C617" s="99" t="s">
        <v>59</v>
      </c>
      <c r="D617" s="225">
        <v>0.3523</v>
      </c>
      <c r="E617" s="223">
        <v>20.6</v>
      </c>
      <c r="F617" s="470">
        <f>TRUNC(D617*E617,2)</f>
        <v>7.25</v>
      </c>
    </row>
    <row r="618" spans="1:9" ht="25.5">
      <c r="A618" s="86">
        <v>88247</v>
      </c>
      <c r="B618" s="103" t="s">
        <v>93</v>
      </c>
      <c r="C618" s="99" t="s">
        <v>59</v>
      </c>
      <c r="D618" s="225">
        <v>0.3523</v>
      </c>
      <c r="E618" s="1610">
        <v>15.61</v>
      </c>
      <c r="F618" s="470">
        <f>TRUNC(D618*E618,2)</f>
        <v>5.49</v>
      </c>
    </row>
    <row r="619" spans="1:9">
      <c r="A619" s="803"/>
      <c r="B619" s="218"/>
      <c r="C619" s="89"/>
      <c r="D619" s="90"/>
      <c r="E619" s="1611" t="s">
        <v>60</v>
      </c>
      <c r="F619" s="472">
        <f>SUM(F617:F618)</f>
        <v>12.74</v>
      </c>
    </row>
    <row r="620" spans="1:9" ht="30">
      <c r="A620" s="97"/>
      <c r="B620" s="1593" t="s">
        <v>95</v>
      </c>
      <c r="C620" s="94" t="s">
        <v>51</v>
      </c>
      <c r="D620" s="95" t="s">
        <v>52</v>
      </c>
      <c r="E620" s="107" t="s">
        <v>64</v>
      </c>
      <c r="F620" s="96" t="s">
        <v>54</v>
      </c>
    </row>
    <row r="621" spans="1:9">
      <c r="A621" s="388">
        <v>12020</v>
      </c>
      <c r="B621" s="204" t="s">
        <v>2453</v>
      </c>
      <c r="C621" s="99" t="s">
        <v>57</v>
      </c>
      <c r="D621" s="471">
        <v>1</v>
      </c>
      <c r="E621" s="1610">
        <v>8.09</v>
      </c>
      <c r="F621" s="470">
        <f>TRUNC(D621*E621,2)</f>
        <v>8.09</v>
      </c>
    </row>
    <row r="622" spans="1:9" ht="38.25">
      <c r="A622" s="388">
        <v>11950</v>
      </c>
      <c r="B622" s="204" t="s">
        <v>2414</v>
      </c>
      <c r="C622" s="99" t="s">
        <v>57</v>
      </c>
      <c r="D622" s="471">
        <v>2</v>
      </c>
      <c r="E622" s="1610">
        <v>0.22</v>
      </c>
      <c r="F622" s="470">
        <f>TRUNC(D622*E622,2)</f>
        <v>0.44</v>
      </c>
    </row>
    <row r="623" spans="1:9">
      <c r="A623" s="672"/>
      <c r="B623" s="815"/>
      <c r="C623" s="89"/>
      <c r="D623" s="90"/>
      <c r="E623" s="295" t="s">
        <v>60</v>
      </c>
      <c r="F623" s="403">
        <f>SUM(F621:F622)</f>
        <v>8.5299999999999994</v>
      </c>
    </row>
    <row r="624" spans="1:9" ht="15.75" thickBot="1">
      <c r="A624" s="825"/>
      <c r="B624" s="2135" t="s">
        <v>55</v>
      </c>
      <c r="C624" s="2135"/>
      <c r="D624" s="2135"/>
      <c r="E624" s="2135"/>
      <c r="F624" s="1656">
        <f>F619+F623</f>
        <v>21.27</v>
      </c>
    </row>
    <row r="625" spans="1:6" ht="6.75" customHeight="1" thickBot="1">
      <c r="A625" s="558"/>
      <c r="B625" s="814"/>
      <c r="C625" s="826"/>
      <c r="D625" s="827"/>
      <c r="E625" s="828"/>
      <c r="F625" s="829"/>
    </row>
    <row r="626" spans="1:6" ht="40.5" customHeight="1" thickBot="1">
      <c r="A626" s="2113" t="s">
        <v>136</v>
      </c>
      <c r="B626" s="2114"/>
      <c r="C626" s="2002" t="s">
        <v>116</v>
      </c>
      <c r="D626" s="2002"/>
      <c r="E626" s="2002"/>
      <c r="F626" s="2003"/>
    </row>
  </sheetData>
  <mergeCells count="245">
    <mergeCell ref="B612:E612"/>
    <mergeCell ref="A615:F615"/>
    <mergeCell ref="B624:E624"/>
    <mergeCell ref="D563:E563"/>
    <mergeCell ref="D564:E564"/>
    <mergeCell ref="A567:F567"/>
    <mergeCell ref="B576:E576"/>
    <mergeCell ref="A579:F579"/>
    <mergeCell ref="B588:E588"/>
    <mergeCell ref="A591:F591"/>
    <mergeCell ref="B600:E600"/>
    <mergeCell ref="A603:F603"/>
    <mergeCell ref="D545:E545"/>
    <mergeCell ref="D546:E546"/>
    <mergeCell ref="D547:E547"/>
    <mergeCell ref="A550:F550"/>
    <mergeCell ref="B558:E558"/>
    <mergeCell ref="B559:E559"/>
    <mergeCell ref="D560:E560"/>
    <mergeCell ref="D561:E561"/>
    <mergeCell ref="D562:E562"/>
    <mergeCell ref="B536:E536"/>
    <mergeCell ref="B537:E537"/>
    <mergeCell ref="D538:E538"/>
    <mergeCell ref="D539:E539"/>
    <mergeCell ref="D540:E540"/>
    <mergeCell ref="D541:E541"/>
    <mergeCell ref="D542:E542"/>
    <mergeCell ref="B543:E543"/>
    <mergeCell ref="D544:E544"/>
    <mergeCell ref="A221:F221"/>
    <mergeCell ref="B228:E228"/>
    <mergeCell ref="A176:F176"/>
    <mergeCell ref="B184:E184"/>
    <mergeCell ref="B185:E185"/>
    <mergeCell ref="D186:E186"/>
    <mergeCell ref="D187:E187"/>
    <mergeCell ref="D188:E188"/>
    <mergeCell ref="D189:E189"/>
    <mergeCell ref="D190:E190"/>
    <mergeCell ref="A193:F193"/>
    <mergeCell ref="B201:E201"/>
    <mergeCell ref="B202:E202"/>
    <mergeCell ref="D203:E203"/>
    <mergeCell ref="D204:E204"/>
    <mergeCell ref="D205:E205"/>
    <mergeCell ref="D206:E206"/>
    <mergeCell ref="D207:E207"/>
    <mergeCell ref="D166:E166"/>
    <mergeCell ref="D167:E167"/>
    <mergeCell ref="B168:E168"/>
    <mergeCell ref="D169:E169"/>
    <mergeCell ref="D170:E170"/>
    <mergeCell ref="D171:E171"/>
    <mergeCell ref="D172:E172"/>
    <mergeCell ref="D173:E173"/>
    <mergeCell ref="B155:E155"/>
    <mergeCell ref="B156:E156"/>
    <mergeCell ref="D159:E159"/>
    <mergeCell ref="D160:E160"/>
    <mergeCell ref="D161:E161"/>
    <mergeCell ref="B162:E162"/>
    <mergeCell ref="D163:E163"/>
    <mergeCell ref="D164:E164"/>
    <mergeCell ref="D165:E165"/>
    <mergeCell ref="D510:E510"/>
    <mergeCell ref="D511:E511"/>
    <mergeCell ref="D492:E492"/>
    <mergeCell ref="D493:E493"/>
    <mergeCell ref="D494:E494"/>
    <mergeCell ref="B471:E471"/>
    <mergeCell ref="D472:E472"/>
    <mergeCell ref="D473:E473"/>
    <mergeCell ref="D474:E474"/>
    <mergeCell ref="D475:E475"/>
    <mergeCell ref="D476:E476"/>
    <mergeCell ref="B489:E489"/>
    <mergeCell ref="D490:E490"/>
    <mergeCell ref="D491:E491"/>
    <mergeCell ref="B488:E488"/>
    <mergeCell ref="D512:E512"/>
    <mergeCell ref="D513:E513"/>
    <mergeCell ref="A516:F516"/>
    <mergeCell ref="B524:E524"/>
    <mergeCell ref="A527:F527"/>
    <mergeCell ref="B377:E377"/>
    <mergeCell ref="A397:F397"/>
    <mergeCell ref="B405:E405"/>
    <mergeCell ref="A425:F425"/>
    <mergeCell ref="B433:E433"/>
    <mergeCell ref="B434:E434"/>
    <mergeCell ref="D435:E435"/>
    <mergeCell ref="D436:E436"/>
    <mergeCell ref="D437:E437"/>
    <mergeCell ref="B417:E417"/>
    <mergeCell ref="D418:E418"/>
    <mergeCell ref="D419:E419"/>
    <mergeCell ref="D420:E420"/>
    <mergeCell ref="D421:E421"/>
    <mergeCell ref="D422:E422"/>
    <mergeCell ref="A497:F497"/>
    <mergeCell ref="B507:E507"/>
    <mergeCell ref="B508:E508"/>
    <mergeCell ref="D509:E509"/>
    <mergeCell ref="A352:F352"/>
    <mergeCell ref="B360:E360"/>
    <mergeCell ref="B361:E361"/>
    <mergeCell ref="D362:E362"/>
    <mergeCell ref="D363:E363"/>
    <mergeCell ref="D364:E364"/>
    <mergeCell ref="D365:E365"/>
    <mergeCell ref="D366:E366"/>
    <mergeCell ref="A369:F369"/>
    <mergeCell ref="D303:E303"/>
    <mergeCell ref="A306:F306"/>
    <mergeCell ref="B314:E314"/>
    <mergeCell ref="B315:E315"/>
    <mergeCell ref="D316:E316"/>
    <mergeCell ref="D317:E317"/>
    <mergeCell ref="D318:E318"/>
    <mergeCell ref="D319:E319"/>
    <mergeCell ref="D320:E320"/>
    <mergeCell ref="D300:E300"/>
    <mergeCell ref="D301:E301"/>
    <mergeCell ref="D302:E302"/>
    <mergeCell ref="A272:F272"/>
    <mergeCell ref="B280:E280"/>
    <mergeCell ref="B281:E281"/>
    <mergeCell ref="D282:E282"/>
    <mergeCell ref="D283:E283"/>
    <mergeCell ref="D284:E284"/>
    <mergeCell ref="B3:F3"/>
    <mergeCell ref="B4:F4"/>
    <mergeCell ref="B5:F5"/>
    <mergeCell ref="A14:F14"/>
    <mergeCell ref="A93:F93"/>
    <mergeCell ref="D55:E55"/>
    <mergeCell ref="D56:E56"/>
    <mergeCell ref="B24:E24"/>
    <mergeCell ref="A27:F27"/>
    <mergeCell ref="B35:E35"/>
    <mergeCell ref="A44:F44"/>
    <mergeCell ref="B51:E51"/>
    <mergeCell ref="D73:E73"/>
    <mergeCell ref="A60:F60"/>
    <mergeCell ref="B67:E67"/>
    <mergeCell ref="B68:E68"/>
    <mergeCell ref="D69:E69"/>
    <mergeCell ref="D70:E70"/>
    <mergeCell ref="D71:E71"/>
    <mergeCell ref="D72:E72"/>
    <mergeCell ref="B101:E101"/>
    <mergeCell ref="B102:E102"/>
    <mergeCell ref="D103:E103"/>
    <mergeCell ref="A16:F16"/>
    <mergeCell ref="D86:E86"/>
    <mergeCell ref="D87:E87"/>
    <mergeCell ref="D88:E88"/>
    <mergeCell ref="D89:E89"/>
    <mergeCell ref="D90:E90"/>
    <mergeCell ref="D57:E57"/>
    <mergeCell ref="A76:F76"/>
    <mergeCell ref="B84:E84"/>
    <mergeCell ref="B85:E85"/>
    <mergeCell ref="B52:E52"/>
    <mergeCell ref="D53:E53"/>
    <mergeCell ref="D54:E54"/>
    <mergeCell ref="B36:E36"/>
    <mergeCell ref="D37:E37"/>
    <mergeCell ref="D38:E38"/>
    <mergeCell ref="D39:E39"/>
    <mergeCell ref="D40:E40"/>
    <mergeCell ref="D41:E41"/>
    <mergeCell ref="D124:E124"/>
    <mergeCell ref="A127:F127"/>
    <mergeCell ref="A323:F323"/>
    <mergeCell ref="D139:E139"/>
    <mergeCell ref="D140:E140"/>
    <mergeCell ref="D141:E141"/>
    <mergeCell ref="B332:E332"/>
    <mergeCell ref="A144:F144"/>
    <mergeCell ref="D157:E157"/>
    <mergeCell ref="D158:E158"/>
    <mergeCell ref="B218:E218"/>
    <mergeCell ref="B258:E258"/>
    <mergeCell ref="A261:F261"/>
    <mergeCell ref="B269:E269"/>
    <mergeCell ref="B247:E247"/>
    <mergeCell ref="A231:F231"/>
    <mergeCell ref="D285:E285"/>
    <mergeCell ref="A210:F210"/>
    <mergeCell ref="A250:F250"/>
    <mergeCell ref="D286:E286"/>
    <mergeCell ref="A289:F289"/>
    <mergeCell ref="B297:E297"/>
    <mergeCell ref="B298:E298"/>
    <mergeCell ref="D299:E299"/>
    <mergeCell ref="A335:F335"/>
    <mergeCell ref="B343:E343"/>
    <mergeCell ref="B344:E344"/>
    <mergeCell ref="A380:F380"/>
    <mergeCell ref="D345:E345"/>
    <mergeCell ref="D346:E346"/>
    <mergeCell ref="D347:E347"/>
    <mergeCell ref="D348:E348"/>
    <mergeCell ref="D104:E104"/>
    <mergeCell ref="D105:E105"/>
    <mergeCell ref="D106:E106"/>
    <mergeCell ref="D107:E107"/>
    <mergeCell ref="A110:F110"/>
    <mergeCell ref="B135:E135"/>
    <mergeCell ref="B136:E136"/>
    <mergeCell ref="D137:E137"/>
    <mergeCell ref="D138:E138"/>
    <mergeCell ref="D349:E349"/>
    <mergeCell ref="B118:E118"/>
    <mergeCell ref="B119:E119"/>
    <mergeCell ref="D120:E120"/>
    <mergeCell ref="D121:E121"/>
    <mergeCell ref="D122:E122"/>
    <mergeCell ref="D123:E123"/>
    <mergeCell ref="A626:B626"/>
    <mergeCell ref="C626:F626"/>
    <mergeCell ref="B388:E388"/>
    <mergeCell ref="B389:E389"/>
    <mergeCell ref="D390:E390"/>
    <mergeCell ref="D391:E391"/>
    <mergeCell ref="D392:E392"/>
    <mergeCell ref="A442:F442"/>
    <mergeCell ref="D393:E393"/>
    <mergeCell ref="D394:E394"/>
    <mergeCell ref="A408:F408"/>
    <mergeCell ref="B416:E416"/>
    <mergeCell ref="D438:E438"/>
    <mergeCell ref="D439:E439"/>
    <mergeCell ref="B453:E453"/>
    <mergeCell ref="D454:E454"/>
    <mergeCell ref="D455:E455"/>
    <mergeCell ref="D456:E456"/>
    <mergeCell ref="D457:E457"/>
    <mergeCell ref="D458:E458"/>
    <mergeCell ref="B452:E452"/>
    <mergeCell ref="A461:F461"/>
    <mergeCell ref="B470:E470"/>
    <mergeCell ref="A479:F479"/>
  </mergeCells>
  <hyperlinks>
    <hyperlink ref="F139" r:id="rId1"/>
    <hyperlink ref="F140" r:id="rId2"/>
    <hyperlink ref="F540" r:id="rId3"/>
    <hyperlink ref="F545" r:id="rId4" display="www.upperseg.com.br"/>
    <hyperlink ref="F541" r:id="rId5"/>
    <hyperlink ref="F188" r:id="rId6"/>
  </hyperlinks>
  <printOptions horizontalCentered="1"/>
  <pageMargins left="0.51181102362204722" right="0.51181102362204722" top="0.78740157480314965" bottom="0.78740157480314965" header="0.31496062992125984" footer="0.31496062992125984"/>
  <pageSetup paperSize="9" scale="70" orientation="portrait" r:id="rId7"/>
  <ignoredErrors>
    <ignoredError sqref="C90" evalError="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1"/>
  <sheetViews>
    <sheetView topLeftCell="A118" workbookViewId="0">
      <selection activeCell="J13" sqref="J13"/>
    </sheetView>
  </sheetViews>
  <sheetFormatPr defaultRowHeight="15"/>
  <cols>
    <col min="1" max="1" width="15.42578125" customWidth="1"/>
    <col min="2" max="2" width="62.140625" customWidth="1"/>
    <col min="3" max="3" width="10" customWidth="1"/>
    <col min="4" max="4" width="10.5703125" customWidth="1"/>
    <col min="5" max="5" width="10.140625" customWidth="1"/>
    <col min="6" max="6" width="19.85546875" customWidth="1"/>
    <col min="8" max="8" width="22" customWidth="1"/>
    <col min="9" max="9" width="10" customWidth="1"/>
  </cols>
  <sheetData>
    <row r="1" spans="1:6">
      <c r="A1" s="140"/>
      <c r="B1" s="141"/>
      <c r="C1" s="141"/>
      <c r="D1" s="141"/>
      <c r="E1" s="141"/>
      <c r="F1" s="142"/>
    </row>
    <row r="2" spans="1:6">
      <c r="A2" s="135"/>
      <c r="B2" s="46"/>
      <c r="C2" s="46"/>
      <c r="D2" s="46"/>
      <c r="E2" s="46"/>
      <c r="F2" s="136"/>
    </row>
    <row r="3" spans="1:6">
      <c r="A3" s="135"/>
      <c r="B3" s="2004" t="s">
        <v>127</v>
      </c>
      <c r="C3" s="2004"/>
      <c r="D3" s="2004"/>
      <c r="E3" s="2004"/>
      <c r="F3" s="2101"/>
    </row>
    <row r="4" spans="1:6">
      <c r="A4" s="135"/>
      <c r="B4" s="2004" t="s">
        <v>128</v>
      </c>
      <c r="C4" s="2004"/>
      <c r="D4" s="2004"/>
      <c r="E4" s="2004"/>
      <c r="F4" s="2101"/>
    </row>
    <row r="5" spans="1:6">
      <c r="A5" s="135"/>
      <c r="B5" s="2108" t="s">
        <v>284</v>
      </c>
      <c r="C5" s="2108"/>
      <c r="D5" s="2108"/>
      <c r="E5" s="2108"/>
      <c r="F5" s="2109"/>
    </row>
    <row r="6" spans="1:6" ht="15.75" thickBot="1">
      <c r="A6" s="245"/>
      <c r="B6" s="138"/>
      <c r="C6" s="138"/>
      <c r="D6" s="138"/>
      <c r="E6" s="138"/>
      <c r="F6" s="139"/>
    </row>
    <row r="7" spans="1:6" ht="6" customHeight="1" thickBot="1"/>
    <row r="8" spans="1:6">
      <c r="A8" s="242" t="s">
        <v>0</v>
      </c>
      <c r="B8" s="141" t="str">
        <f>'PLANILHA SEM DESON'!B7:C7</f>
        <v>364778/2019</v>
      </c>
      <c r="C8" s="141"/>
      <c r="D8" s="141"/>
      <c r="E8" s="243" t="s">
        <v>131</v>
      </c>
      <c r="F8" s="716">
        <f>'PLANILHA SEM DESON'!I10</f>
        <v>44414</v>
      </c>
    </row>
    <row r="9" spans="1:6">
      <c r="A9" s="244" t="s">
        <v>1</v>
      </c>
      <c r="B9" s="46" t="str">
        <f>'PLANILHA SEM DESON'!B8:C8</f>
        <v>CONSTRUÇÃO DE DIRETORIA DE UNIDADE DESCONCENTRADA DA SEMA - DUDS</v>
      </c>
      <c r="C9" s="46"/>
      <c r="D9" s="46"/>
      <c r="E9" s="46"/>
      <c r="F9" s="136"/>
    </row>
    <row r="10" spans="1:6">
      <c r="A10" s="214" t="s">
        <v>2</v>
      </c>
      <c r="B10" s="46" t="str">
        <f>'PLANILHA SEM DESON'!B9:C9</f>
        <v>Rua Erichin, esquina com Rua Circular - Bairro Residencial Arco Íris</v>
      </c>
      <c r="C10" s="46"/>
      <c r="D10" s="46"/>
      <c r="E10" s="46"/>
      <c r="F10" s="136"/>
    </row>
    <row r="11" spans="1:6">
      <c r="A11" s="214" t="s">
        <v>4</v>
      </c>
      <c r="B11" s="46" t="str">
        <f>'PLANILHA SEM DESON'!B10:C10</f>
        <v>CONFRESA - MT</v>
      </c>
      <c r="C11" s="46"/>
      <c r="D11" s="46"/>
      <c r="E11" s="46"/>
      <c r="F11" s="136"/>
    </row>
    <row r="12" spans="1:6" ht="15.75" thickBot="1">
      <c r="A12" s="215" t="s">
        <v>6</v>
      </c>
      <c r="B12" s="138" t="str">
        <f>'PLANILHA SEM DESON'!B11</f>
        <v xml:space="preserve">CONSTRUÇÃO </v>
      </c>
      <c r="C12" s="138"/>
      <c r="D12" s="138"/>
      <c r="E12" s="138"/>
      <c r="F12" s="139"/>
    </row>
    <row r="13" spans="1:6" ht="6.75" customHeight="1" thickBot="1">
      <c r="A13" s="46"/>
    </row>
    <row r="14" spans="1:6" ht="16.5" thickBot="1">
      <c r="A14" s="2177" t="s">
        <v>1568</v>
      </c>
      <c r="B14" s="2178"/>
      <c r="C14" s="2178"/>
      <c r="D14" s="2178"/>
      <c r="E14" s="2178"/>
      <c r="F14" s="2179"/>
    </row>
    <row r="15" spans="1:6">
      <c r="A15" s="530" t="s">
        <v>401</v>
      </c>
      <c r="B15" s="703" t="s">
        <v>757</v>
      </c>
      <c r="C15" s="637" t="s">
        <v>48</v>
      </c>
      <c r="D15" s="2167"/>
      <c r="E15" s="2168"/>
      <c r="F15" s="162"/>
    </row>
    <row r="16" spans="1:6">
      <c r="A16" s="2164" t="s">
        <v>756</v>
      </c>
      <c r="B16" s="2165"/>
      <c r="C16" s="2165"/>
      <c r="D16" s="2165"/>
      <c r="E16" s="2165"/>
      <c r="F16" s="2166"/>
    </row>
    <row r="17" spans="1:6" ht="30">
      <c r="A17" s="638"/>
      <c r="B17" s="639" t="s">
        <v>58</v>
      </c>
      <c r="C17" s="640" t="s">
        <v>51</v>
      </c>
      <c r="D17" s="641" t="s">
        <v>52</v>
      </c>
      <c r="E17" s="642" t="s">
        <v>64</v>
      </c>
      <c r="F17" s="643" t="s">
        <v>54</v>
      </c>
    </row>
    <row r="18" spans="1:6" ht="18" customHeight="1">
      <c r="A18" s="421" t="s">
        <v>404</v>
      </c>
      <c r="B18" s="398" t="s">
        <v>405</v>
      </c>
      <c r="C18" s="99" t="s">
        <v>59</v>
      </c>
      <c r="D18" s="497">
        <v>1.1000000000000001</v>
      </c>
      <c r="E18" s="644">
        <v>16.3</v>
      </c>
      <c r="F18" s="645">
        <f>TRUNC((D18*E18),2)</f>
        <v>17.93</v>
      </c>
    </row>
    <row r="19" spans="1:6">
      <c r="A19" s="421" t="s">
        <v>406</v>
      </c>
      <c r="B19" s="398" t="s">
        <v>389</v>
      </c>
      <c r="C19" s="99" t="s">
        <v>59</v>
      </c>
      <c r="D19" s="497">
        <v>1.1000000000000001</v>
      </c>
      <c r="E19" s="644">
        <v>19.649999999999999</v>
      </c>
      <c r="F19" s="645">
        <f>TRUNC((D19*E19),2)</f>
        <v>21.61</v>
      </c>
    </row>
    <row r="20" spans="1:6">
      <c r="A20" s="503"/>
      <c r="B20" s="646"/>
      <c r="C20" s="495" t="s">
        <v>43</v>
      </c>
      <c r="D20" s="647" t="s">
        <v>43</v>
      </c>
      <c r="E20" s="648" t="s">
        <v>60</v>
      </c>
      <c r="F20" s="649">
        <f>SUM(F18:F19)</f>
        <v>39.54</v>
      </c>
    </row>
    <row r="21" spans="1:6" ht="30">
      <c r="A21" s="503"/>
      <c r="B21" s="504" t="s">
        <v>95</v>
      </c>
      <c r="C21" s="640" t="s">
        <v>51</v>
      </c>
      <c r="D21" s="641" t="s">
        <v>52</v>
      </c>
      <c r="E21" s="642" t="s">
        <v>64</v>
      </c>
      <c r="F21" s="643" t="s">
        <v>54</v>
      </c>
    </row>
    <row r="22" spans="1:6" ht="25.5">
      <c r="A22" s="650">
        <v>4517</v>
      </c>
      <c r="B22" s="204" t="s">
        <v>1313</v>
      </c>
      <c r="C22" s="651" t="s">
        <v>56</v>
      </c>
      <c r="D22" s="497">
        <v>1.25</v>
      </c>
      <c r="E22" s="497">
        <v>2.79</v>
      </c>
      <c r="F22" s="645">
        <f>TRUNC((D22*E22),2)</f>
        <v>3.48</v>
      </c>
    </row>
    <row r="23" spans="1:6" ht="25.5">
      <c r="A23" s="650">
        <v>6189</v>
      </c>
      <c r="B23" s="204" t="s">
        <v>1001</v>
      </c>
      <c r="C23" s="651" t="s">
        <v>48</v>
      </c>
      <c r="D23" s="497">
        <v>0.2</v>
      </c>
      <c r="E23" s="497">
        <v>12.37</v>
      </c>
      <c r="F23" s="645">
        <f>TRUNC((D23*E23),2)</f>
        <v>2.4700000000000002</v>
      </c>
    </row>
    <row r="24" spans="1:6" ht="25.5">
      <c r="A24" s="650">
        <v>1346</v>
      </c>
      <c r="B24" s="204" t="s">
        <v>1311</v>
      </c>
      <c r="C24" s="651" t="s">
        <v>48</v>
      </c>
      <c r="D24" s="497">
        <v>0.1</v>
      </c>
      <c r="E24" s="497">
        <v>26.63</v>
      </c>
      <c r="F24" s="645">
        <f>TRUNC((D24*E24),2)</f>
        <v>2.66</v>
      </c>
    </row>
    <row r="25" spans="1:6">
      <c r="A25" s="650">
        <v>5061</v>
      </c>
      <c r="B25" s="204" t="s">
        <v>1000</v>
      </c>
      <c r="C25" s="651" t="s">
        <v>101</v>
      </c>
      <c r="D25" s="497">
        <v>0.7</v>
      </c>
      <c r="E25" s="497">
        <v>15.75</v>
      </c>
      <c r="F25" s="645">
        <f>TRUNC((D25*E25),2)</f>
        <v>11.02</v>
      </c>
    </row>
    <row r="26" spans="1:6" ht="25.5">
      <c r="A26" s="650">
        <v>2692</v>
      </c>
      <c r="B26" s="204" t="s">
        <v>1312</v>
      </c>
      <c r="C26" s="651" t="s">
        <v>410</v>
      </c>
      <c r="D26" s="497">
        <v>0.01</v>
      </c>
      <c r="E26" s="497">
        <v>5.22</v>
      </c>
      <c r="F26" s="645">
        <f>TRUNC((D26*E26),2)</f>
        <v>0.05</v>
      </c>
    </row>
    <row r="27" spans="1:6">
      <c r="A27" s="339"/>
      <c r="B27" s="652"/>
      <c r="C27" s="315"/>
      <c r="D27" s="653"/>
      <c r="E27" s="648" t="s">
        <v>60</v>
      </c>
      <c r="F27" s="643">
        <f>SUM(F22:F26)</f>
        <v>19.68</v>
      </c>
    </row>
    <row r="28" spans="1:6" ht="15.75" thickBot="1">
      <c r="A28" s="654"/>
      <c r="B28" s="2169" t="s">
        <v>55</v>
      </c>
      <c r="C28" s="2169"/>
      <c r="D28" s="2169"/>
      <c r="E28" s="2169"/>
      <c r="F28" s="655">
        <f>F20+F27</f>
        <v>59.22</v>
      </c>
    </row>
    <row r="29" spans="1:6" ht="15.75" thickBot="1">
      <c r="A29" s="534"/>
      <c r="B29" s="2181"/>
      <c r="C29" s="2181"/>
      <c r="D29" s="2181"/>
      <c r="E29" s="2181"/>
      <c r="F29" s="394"/>
    </row>
    <row r="30" spans="1:6">
      <c r="A30" s="530" t="s">
        <v>402</v>
      </c>
      <c r="B30" s="703" t="s">
        <v>758</v>
      </c>
      <c r="C30" s="637" t="s">
        <v>48</v>
      </c>
      <c r="D30" s="2167"/>
      <c r="E30" s="2168"/>
      <c r="F30" s="162"/>
    </row>
    <row r="31" spans="1:6">
      <c r="A31" s="2164" t="s">
        <v>759</v>
      </c>
      <c r="B31" s="2165"/>
      <c r="C31" s="2165"/>
      <c r="D31" s="2165"/>
      <c r="E31" s="2165"/>
      <c r="F31" s="2166"/>
    </row>
    <row r="32" spans="1:6" ht="30">
      <c r="A32" s="638"/>
      <c r="B32" s="639" t="s">
        <v>58</v>
      </c>
      <c r="C32" s="640" t="s">
        <v>51</v>
      </c>
      <c r="D32" s="641" t="s">
        <v>52</v>
      </c>
      <c r="E32" s="642" t="s">
        <v>64</v>
      </c>
      <c r="F32" s="643" t="s">
        <v>54</v>
      </c>
    </row>
    <row r="33" spans="1:6">
      <c r="A33" s="421" t="s">
        <v>407</v>
      </c>
      <c r="B33" s="398" t="s">
        <v>104</v>
      </c>
      <c r="C33" s="99" t="s">
        <v>59</v>
      </c>
      <c r="D33" s="704">
        <v>1.0058</v>
      </c>
      <c r="E33" s="644">
        <v>20.6</v>
      </c>
      <c r="F33" s="645">
        <f>TRUNC((D33*E33),2)</f>
        <v>20.71</v>
      </c>
    </row>
    <row r="34" spans="1:6">
      <c r="A34" s="421" t="s">
        <v>408</v>
      </c>
      <c r="B34" s="298" t="s">
        <v>68</v>
      </c>
      <c r="C34" s="99" t="s">
        <v>59</v>
      </c>
      <c r="D34" s="704">
        <v>2.7574000000000001</v>
      </c>
      <c r="E34" s="644">
        <v>15.65</v>
      </c>
      <c r="F34" s="645">
        <f>TRUNC((D34*E34),2)</f>
        <v>43.15</v>
      </c>
    </row>
    <row r="35" spans="1:6">
      <c r="A35" s="503"/>
      <c r="B35" s="646"/>
      <c r="C35" s="495" t="s">
        <v>43</v>
      </c>
      <c r="D35" s="647" t="s">
        <v>43</v>
      </c>
      <c r="E35" s="648" t="s">
        <v>60</v>
      </c>
      <c r="F35" s="649">
        <f>SUM(F33:F34)</f>
        <v>63.86</v>
      </c>
    </row>
    <row r="36" spans="1:6" ht="30">
      <c r="A36" s="503"/>
      <c r="B36" s="504" t="s">
        <v>95</v>
      </c>
      <c r="C36" s="640" t="s">
        <v>51</v>
      </c>
      <c r="D36" s="641" t="s">
        <v>52</v>
      </c>
      <c r="E36" s="642" t="s">
        <v>64</v>
      </c>
      <c r="F36" s="643" t="s">
        <v>54</v>
      </c>
    </row>
    <row r="37" spans="1:6">
      <c r="A37" s="650"/>
      <c r="B37" s="702"/>
      <c r="C37" s="651"/>
      <c r="D37" s="497"/>
      <c r="E37" s="497"/>
      <c r="F37" s="645">
        <f>TRUNC((D37*E37),2)</f>
        <v>0</v>
      </c>
    </row>
    <row r="38" spans="1:6">
      <c r="A38" s="339"/>
      <c r="B38" s="652"/>
      <c r="C38" s="315"/>
      <c r="D38" s="653"/>
      <c r="E38" s="648" t="s">
        <v>60</v>
      </c>
      <c r="F38" s="643">
        <f>SUM(F37:F37)</f>
        <v>0</v>
      </c>
    </row>
    <row r="39" spans="1:6" ht="15.75" thickBot="1">
      <c r="A39" s="654"/>
      <c r="B39" s="2169" t="s">
        <v>55</v>
      </c>
      <c r="C39" s="2169"/>
      <c r="D39" s="2169"/>
      <c r="E39" s="2169"/>
      <c r="F39" s="655">
        <f>F35+F38</f>
        <v>63.86</v>
      </c>
    </row>
    <row r="40" spans="1:6" ht="15.75" thickBot="1"/>
    <row r="41" spans="1:6" ht="25.5">
      <c r="A41" s="530" t="s">
        <v>409</v>
      </c>
      <c r="B41" s="703" t="s">
        <v>774</v>
      </c>
      <c r="C41" s="637" t="s">
        <v>49</v>
      </c>
      <c r="D41" s="2167"/>
      <c r="E41" s="2168"/>
      <c r="F41" s="162"/>
    </row>
    <row r="42" spans="1:6">
      <c r="A42" s="2164" t="s">
        <v>760</v>
      </c>
      <c r="B42" s="2165"/>
      <c r="C42" s="2165"/>
      <c r="D42" s="2165"/>
      <c r="E42" s="2165"/>
      <c r="F42" s="2166"/>
    </row>
    <row r="43" spans="1:6" ht="30">
      <c r="A43" s="638"/>
      <c r="B43" s="639" t="s">
        <v>58</v>
      </c>
      <c r="C43" s="640" t="s">
        <v>51</v>
      </c>
      <c r="D43" s="641" t="s">
        <v>52</v>
      </c>
      <c r="E43" s="642" t="s">
        <v>64</v>
      </c>
      <c r="F43" s="643" t="s">
        <v>54</v>
      </c>
    </row>
    <row r="44" spans="1:6">
      <c r="A44" s="421" t="s">
        <v>408</v>
      </c>
      <c r="B44" s="298" t="s">
        <v>68</v>
      </c>
      <c r="C44" s="99" t="s">
        <v>59</v>
      </c>
      <c r="D44" s="704">
        <v>3.7</v>
      </c>
      <c r="E44" s="644">
        <v>15.65</v>
      </c>
      <c r="F44" s="645">
        <f>TRUNC((D44*E44),2)</f>
        <v>57.9</v>
      </c>
    </row>
    <row r="45" spans="1:6">
      <c r="A45" s="503"/>
      <c r="B45" s="646"/>
      <c r="C45" s="495" t="s">
        <v>43</v>
      </c>
      <c r="D45" s="647" t="s">
        <v>43</v>
      </c>
      <c r="E45" s="648" t="s">
        <v>60</v>
      </c>
      <c r="F45" s="649">
        <f>SUM(F44:F44)</f>
        <v>57.9</v>
      </c>
    </row>
    <row r="46" spans="1:6" ht="30">
      <c r="A46" s="503"/>
      <c r="B46" s="504" t="s">
        <v>95</v>
      </c>
      <c r="C46" s="640" t="s">
        <v>51</v>
      </c>
      <c r="D46" s="641" t="s">
        <v>52</v>
      </c>
      <c r="E46" s="642" t="s">
        <v>64</v>
      </c>
      <c r="F46" s="643" t="s">
        <v>54</v>
      </c>
    </row>
    <row r="47" spans="1:6">
      <c r="A47" s="650"/>
      <c r="B47" s="702"/>
      <c r="C47" s="651"/>
      <c r="D47" s="497"/>
      <c r="E47" s="497"/>
      <c r="F47" s="645">
        <f>TRUNC((D47*E47),2)</f>
        <v>0</v>
      </c>
    </row>
    <row r="48" spans="1:6">
      <c r="A48" s="339"/>
      <c r="B48" s="652"/>
      <c r="C48" s="315"/>
      <c r="D48" s="653"/>
      <c r="E48" s="648" t="s">
        <v>60</v>
      </c>
      <c r="F48" s="643">
        <f>SUM(F47:F47)</f>
        <v>0</v>
      </c>
    </row>
    <row r="49" spans="1:6" ht="15.75" thickBot="1">
      <c r="A49" s="654"/>
      <c r="B49" s="2169" t="s">
        <v>55</v>
      </c>
      <c r="C49" s="2169"/>
      <c r="D49" s="2169"/>
      <c r="E49" s="2169"/>
      <c r="F49" s="655">
        <f>F45+F48</f>
        <v>57.9</v>
      </c>
    </row>
    <row r="50" spans="1:6" ht="15.75" thickBot="1"/>
    <row r="51" spans="1:6" ht="29.25" customHeight="1">
      <c r="A51" s="530" t="s">
        <v>775</v>
      </c>
      <c r="B51" s="703" t="s">
        <v>761</v>
      </c>
      <c r="C51" s="637" t="s">
        <v>101</v>
      </c>
      <c r="D51" s="2167"/>
      <c r="E51" s="2168"/>
      <c r="F51" s="162"/>
    </row>
    <row r="52" spans="1:6">
      <c r="A52" s="2164" t="s">
        <v>763</v>
      </c>
      <c r="B52" s="2165"/>
      <c r="C52" s="2165"/>
      <c r="D52" s="2165"/>
      <c r="E52" s="2165"/>
      <c r="F52" s="2166"/>
    </row>
    <row r="53" spans="1:6" ht="30">
      <c r="A53" s="638"/>
      <c r="B53" s="639" t="s">
        <v>58</v>
      </c>
      <c r="C53" s="640" t="s">
        <v>51</v>
      </c>
      <c r="D53" s="641" t="s">
        <v>52</v>
      </c>
      <c r="E53" s="642" t="s">
        <v>64</v>
      </c>
      <c r="F53" s="643" t="s">
        <v>54</v>
      </c>
    </row>
    <row r="54" spans="1:6">
      <c r="A54" s="421">
        <v>88238</v>
      </c>
      <c r="B54" s="711" t="s">
        <v>765</v>
      </c>
      <c r="C54" s="99" t="s">
        <v>59</v>
      </c>
      <c r="D54" s="497">
        <v>1</v>
      </c>
      <c r="E54" s="644">
        <v>14.93</v>
      </c>
      <c r="F54" s="645">
        <f>TRUNC((D54*E54),2)</f>
        <v>14.93</v>
      </c>
    </row>
    <row r="55" spans="1:6">
      <c r="A55" s="421">
        <v>88245</v>
      </c>
      <c r="B55" s="712" t="s">
        <v>766</v>
      </c>
      <c r="C55" s="99" t="s">
        <v>59</v>
      </c>
      <c r="D55" s="497">
        <v>1</v>
      </c>
      <c r="E55" s="644">
        <v>19.75</v>
      </c>
      <c r="F55" s="645">
        <f>TRUNC((D55*E55),2)</f>
        <v>19.75</v>
      </c>
    </row>
    <row r="56" spans="1:6">
      <c r="A56" s="503"/>
      <c r="B56" s="646"/>
      <c r="C56" s="495" t="s">
        <v>43</v>
      </c>
      <c r="D56" s="647" t="s">
        <v>43</v>
      </c>
      <c r="E56" s="648" t="s">
        <v>60</v>
      </c>
      <c r="F56" s="513">
        <f>SUM(F54:F55)</f>
        <v>34.68</v>
      </c>
    </row>
    <row r="57" spans="1:6" ht="30">
      <c r="A57" s="503"/>
      <c r="B57" s="504" t="s">
        <v>95</v>
      </c>
      <c r="C57" s="640" t="s">
        <v>51</v>
      </c>
      <c r="D57" s="641" t="s">
        <v>52</v>
      </c>
      <c r="E57" s="642" t="s">
        <v>64</v>
      </c>
      <c r="F57" s="643" t="s">
        <v>54</v>
      </c>
    </row>
    <row r="58" spans="1:6" ht="30" customHeight="1">
      <c r="A58" s="650">
        <v>92794</v>
      </c>
      <c r="B58" s="204" t="s">
        <v>768</v>
      </c>
      <c r="C58" s="651" t="s">
        <v>101</v>
      </c>
      <c r="D58" s="497">
        <v>1.05</v>
      </c>
      <c r="E58" s="497">
        <v>14.35</v>
      </c>
      <c r="F58" s="645">
        <f>TRUNC((D58*E58),2)</f>
        <v>15.06</v>
      </c>
    </row>
    <row r="59" spans="1:6" ht="25.5">
      <c r="A59" s="650">
        <v>92800</v>
      </c>
      <c r="B59" s="540" t="s">
        <v>552</v>
      </c>
      <c r="C59" s="651" t="s">
        <v>101</v>
      </c>
      <c r="D59" s="497">
        <v>1.4999999999999999E-2</v>
      </c>
      <c r="E59" s="497">
        <v>14.12</v>
      </c>
      <c r="F59" s="645">
        <f>TRUNC((D59*E59),2)</f>
        <v>0.21</v>
      </c>
    </row>
    <row r="60" spans="1:6">
      <c r="A60" s="650"/>
      <c r="B60" s="708"/>
      <c r="C60" s="651"/>
      <c r="D60" s="497"/>
      <c r="E60" s="648" t="s">
        <v>60</v>
      </c>
      <c r="F60" s="507">
        <f>SUM(F58:F59)</f>
        <v>15.270000000000001</v>
      </c>
    </row>
    <row r="61" spans="1:6" ht="30">
      <c r="A61" s="650"/>
      <c r="B61" s="707" t="s">
        <v>762</v>
      </c>
      <c r="C61" s="640" t="s">
        <v>51</v>
      </c>
      <c r="D61" s="641" t="s">
        <v>52</v>
      </c>
      <c r="E61" s="642" t="s">
        <v>64</v>
      </c>
      <c r="F61" s="643" t="s">
        <v>54</v>
      </c>
    </row>
    <row r="62" spans="1:6" ht="38.25">
      <c r="A62" s="650">
        <v>93287</v>
      </c>
      <c r="B62" s="713" t="s">
        <v>769</v>
      </c>
      <c r="C62" s="651" t="s">
        <v>411</v>
      </c>
      <c r="D62" s="704">
        <v>1.1299999999999999E-2</v>
      </c>
      <c r="E62" s="891">
        <v>376.47</v>
      </c>
      <c r="F62" s="709">
        <f>D62*E62</f>
        <v>4.254111</v>
      </c>
    </row>
    <row r="63" spans="1:6">
      <c r="A63" s="650"/>
      <c r="B63" s="706"/>
      <c r="C63" s="651"/>
      <c r="D63" s="497"/>
      <c r="E63" s="648" t="s">
        <v>60</v>
      </c>
      <c r="F63" s="507">
        <f>F62</f>
        <v>4.254111</v>
      </c>
    </row>
    <row r="64" spans="1:6" ht="30">
      <c r="A64" s="650"/>
      <c r="B64" s="707" t="s">
        <v>764</v>
      </c>
      <c r="C64" s="640" t="s">
        <v>51</v>
      </c>
      <c r="D64" s="641" t="s">
        <v>52</v>
      </c>
      <c r="E64" s="642" t="s">
        <v>64</v>
      </c>
      <c r="F64" s="643" t="s">
        <v>54</v>
      </c>
    </row>
    <row r="65" spans="1:8" ht="38.25">
      <c r="A65" s="650">
        <v>100263</v>
      </c>
      <c r="B65" s="204" t="s">
        <v>1314</v>
      </c>
      <c r="C65" s="651" t="s">
        <v>1315</v>
      </c>
      <c r="D65" s="704">
        <v>1.0500000000000001E-2</v>
      </c>
      <c r="E65" s="497">
        <v>1.57</v>
      </c>
      <c r="F65" s="710">
        <f>(D65*E65)</f>
        <v>1.6485000000000003E-2</v>
      </c>
      <c r="H65" s="892" t="s">
        <v>2257</v>
      </c>
    </row>
    <row r="66" spans="1:8" ht="30.75" customHeight="1">
      <c r="A66" s="650">
        <v>100260</v>
      </c>
      <c r="B66" s="204" t="s">
        <v>1316</v>
      </c>
      <c r="C66" s="651" t="s">
        <v>1315</v>
      </c>
      <c r="D66" s="704">
        <v>2.0000000000000001E-4</v>
      </c>
      <c r="E66" s="497">
        <v>6.31</v>
      </c>
      <c r="F66" s="1566">
        <f>(D66*E66)</f>
        <v>1.2619999999999999E-3</v>
      </c>
      <c r="H66" s="892" t="s">
        <v>2258</v>
      </c>
    </row>
    <row r="67" spans="1:8">
      <c r="A67" s="339"/>
      <c r="B67" s="652"/>
      <c r="C67" s="315"/>
      <c r="D67" s="653"/>
      <c r="E67" s="648" t="s">
        <v>60</v>
      </c>
      <c r="F67" s="1567">
        <f>SUM(F65:F66)</f>
        <v>1.7747000000000002E-2</v>
      </c>
    </row>
    <row r="68" spans="1:8" ht="15.75" thickBot="1">
      <c r="A68" s="654"/>
      <c r="B68" s="2169" t="s">
        <v>55</v>
      </c>
      <c r="C68" s="2169"/>
      <c r="D68" s="2169"/>
      <c r="E68" s="2169"/>
      <c r="F68" s="893">
        <f>F56+F60+F62+F67</f>
        <v>54.221858000000005</v>
      </c>
    </row>
    <row r="69" spans="1:8" ht="16.5" thickBot="1">
      <c r="A69" s="700"/>
      <c r="B69" s="700"/>
      <c r="C69" s="700"/>
      <c r="D69" s="700"/>
      <c r="E69" s="700"/>
      <c r="F69" s="700"/>
    </row>
    <row r="70" spans="1:8" ht="25.5" customHeight="1">
      <c r="A70" s="419" t="s">
        <v>951</v>
      </c>
      <c r="B70" s="417" t="s">
        <v>998</v>
      </c>
      <c r="C70" s="159" t="s">
        <v>48</v>
      </c>
      <c r="D70" s="2167"/>
      <c r="E70" s="2168"/>
      <c r="F70" s="162"/>
    </row>
    <row r="71" spans="1:8" ht="15" customHeight="1">
      <c r="A71" s="2164" t="s">
        <v>403</v>
      </c>
      <c r="B71" s="2165"/>
      <c r="C71" s="2165"/>
      <c r="D71" s="2165"/>
      <c r="E71" s="2165"/>
      <c r="F71" s="2166"/>
      <c r="H71" s="420"/>
    </row>
    <row r="72" spans="1:8" ht="30">
      <c r="A72" s="92"/>
      <c r="B72" s="93" t="s">
        <v>58</v>
      </c>
      <c r="C72" s="94" t="s">
        <v>51</v>
      </c>
      <c r="D72" s="95" t="s">
        <v>52</v>
      </c>
      <c r="E72" s="107" t="s">
        <v>64</v>
      </c>
      <c r="F72" s="96" t="s">
        <v>54</v>
      </c>
    </row>
    <row r="73" spans="1:8" ht="18" customHeight="1">
      <c r="A73" s="421" t="s">
        <v>404</v>
      </c>
      <c r="B73" s="398" t="s">
        <v>405</v>
      </c>
      <c r="C73" s="99" t="s">
        <v>59</v>
      </c>
      <c r="D73" s="223">
        <v>0.16</v>
      </c>
      <c r="E73" s="644">
        <v>16.3</v>
      </c>
      <c r="F73" s="224">
        <f>TRUNC((D73*E73),2)</f>
        <v>2.6</v>
      </c>
    </row>
    <row r="74" spans="1:8">
      <c r="A74" s="421" t="s">
        <v>406</v>
      </c>
      <c r="B74" s="398" t="s">
        <v>389</v>
      </c>
      <c r="C74" s="99" t="s">
        <v>59</v>
      </c>
      <c r="D74" s="223">
        <v>0.16</v>
      </c>
      <c r="E74" s="644">
        <v>19.649999999999999</v>
      </c>
      <c r="F74" s="224">
        <f>TRUNC((D74*E74),2)</f>
        <v>3.14</v>
      </c>
    </row>
    <row r="75" spans="1:8">
      <c r="A75" s="421" t="s">
        <v>407</v>
      </c>
      <c r="B75" s="398" t="s">
        <v>104</v>
      </c>
      <c r="C75" s="99" t="s">
        <v>59</v>
      </c>
      <c r="D75" s="422">
        <v>0.35</v>
      </c>
      <c r="E75" s="202">
        <v>20.6</v>
      </c>
      <c r="F75" s="224">
        <f>TRUNC((D75*E75),2)</f>
        <v>7.21</v>
      </c>
    </row>
    <row r="76" spans="1:8">
      <c r="A76" s="421" t="s">
        <v>408</v>
      </c>
      <c r="B76" s="298" t="s">
        <v>68</v>
      </c>
      <c r="C76" s="99" t="s">
        <v>59</v>
      </c>
      <c r="D76" s="422">
        <v>0.35</v>
      </c>
      <c r="E76" s="202">
        <v>15.65</v>
      </c>
      <c r="F76" s="224">
        <f>TRUNC((D76*E76),2)</f>
        <v>5.47</v>
      </c>
    </row>
    <row r="77" spans="1:8">
      <c r="A77" s="97"/>
      <c r="B77" s="98"/>
      <c r="C77" s="99" t="s">
        <v>43</v>
      </c>
      <c r="D77" s="100" t="s">
        <v>43</v>
      </c>
      <c r="E77" s="295" t="s">
        <v>60</v>
      </c>
      <c r="F77" s="147">
        <f>SUM(F73:F76)</f>
        <v>18.419999999999998</v>
      </c>
    </row>
    <row r="78" spans="1:8" ht="30">
      <c r="A78" s="97"/>
      <c r="B78" s="101" t="s">
        <v>95</v>
      </c>
      <c r="C78" s="94" t="s">
        <v>51</v>
      </c>
      <c r="D78" s="95" t="s">
        <v>52</v>
      </c>
      <c r="E78" s="107" t="s">
        <v>64</v>
      </c>
      <c r="F78" s="96" t="s">
        <v>54</v>
      </c>
    </row>
    <row r="79" spans="1:8" ht="30.75" customHeight="1">
      <c r="A79" s="423">
        <v>94965</v>
      </c>
      <c r="B79" s="398" t="s">
        <v>365</v>
      </c>
      <c r="C79" s="424" t="s">
        <v>49</v>
      </c>
      <c r="D79" s="226">
        <v>3.3000000000000002E-2</v>
      </c>
      <c r="E79" s="223">
        <v>391.29</v>
      </c>
      <c r="F79" s="224">
        <f t="shared" ref="F79:F84" si="0">TRUNC((D79*E79),2)</f>
        <v>12.91</v>
      </c>
    </row>
    <row r="80" spans="1:8" ht="29.25" customHeight="1">
      <c r="A80" s="423">
        <v>92874</v>
      </c>
      <c r="B80" s="398" t="s">
        <v>366</v>
      </c>
      <c r="C80" s="424" t="s">
        <v>49</v>
      </c>
      <c r="D80" s="226">
        <v>3.3000000000000002E-2</v>
      </c>
      <c r="E80" s="223">
        <v>26.68</v>
      </c>
      <c r="F80" s="224">
        <f t="shared" si="0"/>
        <v>0.88</v>
      </c>
    </row>
    <row r="81" spans="1:9" ht="39.75" customHeight="1">
      <c r="A81" s="423">
        <v>3742</v>
      </c>
      <c r="B81" s="204" t="s">
        <v>1563</v>
      </c>
      <c r="C81" s="424" t="s">
        <v>48</v>
      </c>
      <c r="D81" s="226">
        <v>1</v>
      </c>
      <c r="E81" s="223">
        <v>92.19</v>
      </c>
      <c r="F81" s="224">
        <f t="shared" si="0"/>
        <v>92.19</v>
      </c>
      <c r="H81" s="752"/>
      <c r="I81" s="321"/>
    </row>
    <row r="82" spans="1:9" ht="28.5" customHeight="1">
      <c r="A82" s="423">
        <v>4491</v>
      </c>
      <c r="B82" s="713" t="s">
        <v>999</v>
      </c>
      <c r="C82" s="424" t="s">
        <v>56</v>
      </c>
      <c r="D82" s="226">
        <v>0.28999999999999998</v>
      </c>
      <c r="E82" s="223">
        <v>7.99</v>
      </c>
      <c r="F82" s="224">
        <f t="shared" si="0"/>
        <v>2.31</v>
      </c>
    </row>
    <row r="83" spans="1:9" ht="18.75" customHeight="1">
      <c r="A83" s="423">
        <v>5061</v>
      </c>
      <c r="B83" s="753" t="s">
        <v>1000</v>
      </c>
      <c r="C83" s="424" t="s">
        <v>101</v>
      </c>
      <c r="D83" s="226">
        <v>0.03</v>
      </c>
      <c r="E83" s="223">
        <v>15.75</v>
      </c>
      <c r="F83" s="224">
        <f t="shared" si="0"/>
        <v>0.47</v>
      </c>
    </row>
    <row r="84" spans="1:9" ht="25.5">
      <c r="A84" s="423">
        <v>6189</v>
      </c>
      <c r="B84" s="713" t="s">
        <v>1001</v>
      </c>
      <c r="C84" s="424" t="s">
        <v>56</v>
      </c>
      <c r="D84" s="226">
        <v>0.17</v>
      </c>
      <c r="E84" s="223">
        <v>12.37</v>
      </c>
      <c r="F84" s="224">
        <f t="shared" si="0"/>
        <v>2.1</v>
      </c>
      <c r="H84" s="425"/>
    </row>
    <row r="85" spans="1:9">
      <c r="A85" s="145"/>
      <c r="B85" s="191"/>
      <c r="C85" s="152"/>
      <c r="D85" s="192"/>
      <c r="E85" s="295" t="s">
        <v>60</v>
      </c>
      <c r="F85" s="96">
        <f>SUM(F79:F84)</f>
        <v>110.86</v>
      </c>
    </row>
    <row r="86" spans="1:9" ht="15.75" thickBot="1">
      <c r="A86" s="104"/>
      <c r="B86" s="2180" t="s">
        <v>55</v>
      </c>
      <c r="C86" s="2180"/>
      <c r="D86" s="2180"/>
      <c r="E86" s="2180"/>
      <c r="F86" s="105">
        <f>F77+F85</f>
        <v>129.28</v>
      </c>
    </row>
    <row r="87" spans="1:9" ht="30.75" customHeight="1" thickBot="1">
      <c r="A87" s="2170" t="s">
        <v>1005</v>
      </c>
      <c r="B87" s="2171"/>
      <c r="C87" s="2171"/>
      <c r="D87" s="2171"/>
      <c r="E87" s="2171"/>
      <c r="F87" s="2172"/>
    </row>
    <row r="88" spans="1:9" ht="15.75" thickBot="1"/>
    <row r="89" spans="1:9" ht="42" customHeight="1">
      <c r="A89" s="419" t="s">
        <v>952</v>
      </c>
      <c r="B89" s="863" t="s">
        <v>931</v>
      </c>
      <c r="C89" s="741" t="s">
        <v>736</v>
      </c>
      <c r="D89" s="742"/>
      <c r="E89" s="743"/>
      <c r="F89" s="744"/>
    </row>
    <row r="90" spans="1:9">
      <c r="A90" s="2173" t="s">
        <v>953</v>
      </c>
      <c r="B90" s="2174"/>
      <c r="C90" s="2174"/>
      <c r="D90" s="2174"/>
      <c r="E90" s="2174"/>
      <c r="F90" s="2175"/>
    </row>
    <row r="91" spans="1:9" ht="24">
      <c r="A91" s="745"/>
      <c r="B91" s="738" t="s">
        <v>50</v>
      </c>
      <c r="C91" s="746" t="s">
        <v>51</v>
      </c>
      <c r="D91" s="747" t="s">
        <v>52</v>
      </c>
      <c r="E91" s="748" t="s">
        <v>53</v>
      </c>
      <c r="F91" s="749" t="s">
        <v>54</v>
      </c>
    </row>
    <row r="92" spans="1:9">
      <c r="A92" s="145">
        <v>88315</v>
      </c>
      <c r="B92" s="103" t="s">
        <v>932</v>
      </c>
      <c r="C92" s="851" t="s">
        <v>354</v>
      </c>
      <c r="D92" s="852">
        <v>0.02</v>
      </c>
      <c r="E92" s="223">
        <v>19.75</v>
      </c>
      <c r="F92" s="470">
        <f t="shared" ref="F92:F97" si="1">TRUNC(D92*E92,2)</f>
        <v>0.39</v>
      </c>
    </row>
    <row r="93" spans="1:9" ht="25.5">
      <c r="A93" s="145">
        <v>88251</v>
      </c>
      <c r="B93" s="103" t="s">
        <v>933</v>
      </c>
      <c r="C93" s="851" t="s">
        <v>354</v>
      </c>
      <c r="D93" s="852">
        <v>0.02</v>
      </c>
      <c r="E93" s="223">
        <v>15.72</v>
      </c>
      <c r="F93" s="470">
        <f t="shared" si="1"/>
        <v>0.31</v>
      </c>
    </row>
    <row r="94" spans="1:9">
      <c r="A94" s="145">
        <v>88310</v>
      </c>
      <c r="B94" s="103" t="s">
        <v>124</v>
      </c>
      <c r="C94" s="851" t="s">
        <v>354</v>
      </c>
      <c r="D94" s="852">
        <v>3.0000000000000001E-3</v>
      </c>
      <c r="E94" s="223">
        <v>20.86</v>
      </c>
      <c r="F94" s="470">
        <f t="shared" si="1"/>
        <v>0.06</v>
      </c>
    </row>
    <row r="95" spans="1:9">
      <c r="A95" s="145">
        <v>100301</v>
      </c>
      <c r="B95" s="103" t="s">
        <v>934</v>
      </c>
      <c r="C95" s="851" t="s">
        <v>354</v>
      </c>
      <c r="D95" s="852">
        <v>3.0000000000000001E-3</v>
      </c>
      <c r="E95" s="223">
        <v>16.399999999999999</v>
      </c>
      <c r="F95" s="470">
        <f t="shared" si="1"/>
        <v>0.04</v>
      </c>
      <c r="H95" s="568"/>
    </row>
    <row r="96" spans="1:9" ht="25.5">
      <c r="A96" s="145">
        <v>88240</v>
      </c>
      <c r="B96" s="103" t="s">
        <v>935</v>
      </c>
      <c r="C96" s="851" t="s">
        <v>354</v>
      </c>
      <c r="D96" s="852">
        <v>0.04</v>
      </c>
      <c r="E96" s="223">
        <v>11.43</v>
      </c>
      <c r="F96" s="470">
        <f t="shared" si="1"/>
        <v>0.45</v>
      </c>
    </row>
    <row r="97" spans="1:6">
      <c r="A97" s="145">
        <v>88317</v>
      </c>
      <c r="B97" s="103" t="s">
        <v>936</v>
      </c>
      <c r="C97" s="851" t="s">
        <v>354</v>
      </c>
      <c r="D97" s="852">
        <v>0.04</v>
      </c>
      <c r="E97" s="223">
        <v>20.41</v>
      </c>
      <c r="F97" s="470">
        <f t="shared" si="1"/>
        <v>0.81</v>
      </c>
    </row>
    <row r="98" spans="1:6">
      <c r="A98" s="361"/>
      <c r="B98" s="853"/>
      <c r="C98" s="851"/>
      <c r="D98" s="854"/>
      <c r="E98" s="438" t="s">
        <v>60</v>
      </c>
      <c r="F98" s="472">
        <f>SUM(F92:F97)</f>
        <v>2.06</v>
      </c>
    </row>
    <row r="99" spans="1:6" ht="25.5">
      <c r="A99" s="855" t="s">
        <v>937</v>
      </c>
      <c r="B99" s="856" t="s">
        <v>938</v>
      </c>
      <c r="C99" s="857" t="s">
        <v>51</v>
      </c>
      <c r="D99" s="858" t="s">
        <v>52</v>
      </c>
      <c r="E99" s="859" t="s">
        <v>53</v>
      </c>
      <c r="F99" s="860" t="s">
        <v>54</v>
      </c>
    </row>
    <row r="100" spans="1:6" ht="38.25">
      <c r="A100" s="145">
        <v>98764</v>
      </c>
      <c r="B100" s="103" t="s">
        <v>939</v>
      </c>
      <c r="C100" s="851" t="s">
        <v>411</v>
      </c>
      <c r="D100" s="852">
        <v>0.04</v>
      </c>
      <c r="E100" s="223">
        <v>4.09</v>
      </c>
      <c r="F100" s="470">
        <f t="shared" ref="F100:F105" si="2">TRUNC(D100*E100,2)</f>
        <v>0.16</v>
      </c>
    </row>
    <row r="101" spans="1:6" ht="43.5" customHeight="1">
      <c r="A101" s="145">
        <v>98765</v>
      </c>
      <c r="B101" s="103" t="s">
        <v>940</v>
      </c>
      <c r="C101" s="851" t="s">
        <v>550</v>
      </c>
      <c r="D101" s="852">
        <v>0.04</v>
      </c>
      <c r="E101" s="223">
        <v>0.16</v>
      </c>
      <c r="F101" s="470">
        <f>ROUNDUP(D101*E101,2)</f>
        <v>0.01</v>
      </c>
    </row>
    <row r="102" spans="1:6" ht="25.5">
      <c r="A102" s="145">
        <v>43083</v>
      </c>
      <c r="B102" s="103" t="s">
        <v>941</v>
      </c>
      <c r="C102" s="851" t="s">
        <v>942</v>
      </c>
      <c r="D102" s="852">
        <v>0.52500000000000002</v>
      </c>
      <c r="E102" s="223">
        <v>10.53</v>
      </c>
      <c r="F102" s="470">
        <f t="shared" si="2"/>
        <v>5.52</v>
      </c>
    </row>
    <row r="103" spans="1:6">
      <c r="A103" s="145">
        <v>546</v>
      </c>
      <c r="B103" s="103" t="s">
        <v>943</v>
      </c>
      <c r="C103" s="851" t="s">
        <v>942</v>
      </c>
      <c r="D103" s="852">
        <v>0.52500000000000002</v>
      </c>
      <c r="E103" s="223">
        <v>11.57</v>
      </c>
      <c r="F103" s="470">
        <f t="shared" si="2"/>
        <v>6.07</v>
      </c>
    </row>
    <row r="104" spans="1:6" ht="15" customHeight="1">
      <c r="A104" s="145">
        <v>7307</v>
      </c>
      <c r="B104" s="103" t="s">
        <v>944</v>
      </c>
      <c r="C104" s="851" t="s">
        <v>945</v>
      </c>
      <c r="D104" s="852">
        <v>2.5000000000000001E-3</v>
      </c>
      <c r="E104" s="223">
        <v>27.57</v>
      </c>
      <c r="F104" s="470">
        <f t="shared" si="2"/>
        <v>0.06</v>
      </c>
    </row>
    <row r="105" spans="1:6" ht="17.25" customHeight="1">
      <c r="A105" s="145">
        <v>10997</v>
      </c>
      <c r="B105" s="103" t="s">
        <v>946</v>
      </c>
      <c r="C105" s="851" t="s">
        <v>942</v>
      </c>
      <c r="D105" s="852">
        <v>1.2999999999999999E-2</v>
      </c>
      <c r="E105" s="223">
        <v>18.5</v>
      </c>
      <c r="F105" s="470">
        <f t="shared" si="2"/>
        <v>0.24</v>
      </c>
    </row>
    <row r="106" spans="1:6">
      <c r="A106" s="145">
        <v>5318</v>
      </c>
      <c r="B106" s="103" t="s">
        <v>947</v>
      </c>
      <c r="C106" s="851" t="s">
        <v>945</v>
      </c>
      <c r="D106" s="852">
        <v>2.9999999999999997E-4</v>
      </c>
      <c r="E106" s="223">
        <v>12.7</v>
      </c>
      <c r="F106" s="470">
        <f>ROUNDUP(D106*E106,2)</f>
        <v>0.01</v>
      </c>
    </row>
    <row r="107" spans="1:6">
      <c r="A107" s="361"/>
      <c r="B107" s="853"/>
      <c r="C107" s="851"/>
      <c r="D107" s="854"/>
      <c r="E107" s="438" t="s">
        <v>60</v>
      </c>
      <c r="F107" s="472">
        <f>SUM(F100:F106)</f>
        <v>12.07</v>
      </c>
    </row>
    <row r="108" spans="1:6" ht="15.75" thickBot="1">
      <c r="A108" s="861"/>
      <c r="B108" s="2176" t="s">
        <v>55</v>
      </c>
      <c r="C108" s="2176"/>
      <c r="D108" s="2176"/>
      <c r="E108" s="2176"/>
      <c r="F108" s="862">
        <f>F98+F107</f>
        <v>14.13</v>
      </c>
    </row>
    <row r="109" spans="1:6" ht="15.75" thickBot="1">
      <c r="A109" s="750"/>
      <c r="B109" s="750"/>
      <c r="C109" s="750"/>
      <c r="D109" s="750"/>
      <c r="E109" s="750"/>
      <c r="F109" s="750"/>
    </row>
    <row r="110" spans="1:6">
      <c r="A110" s="419" t="s">
        <v>963</v>
      </c>
      <c r="B110" s="863" t="s">
        <v>948</v>
      </c>
      <c r="C110" s="357" t="s">
        <v>736</v>
      </c>
      <c r="D110" s="864"/>
      <c r="E110" s="865"/>
      <c r="F110" s="866"/>
    </row>
    <row r="111" spans="1:6">
      <c r="A111" s="2173" t="s">
        <v>965</v>
      </c>
      <c r="B111" s="2174"/>
      <c r="C111" s="2174"/>
      <c r="D111" s="2174"/>
      <c r="E111" s="2174"/>
      <c r="F111" s="2175"/>
    </row>
    <row r="112" spans="1:6" ht="25.5">
      <c r="A112" s="867"/>
      <c r="B112" s="856" t="s">
        <v>50</v>
      </c>
      <c r="C112" s="857" t="s">
        <v>51</v>
      </c>
      <c r="D112" s="858" t="s">
        <v>52</v>
      </c>
      <c r="E112" s="859" t="s">
        <v>53</v>
      </c>
      <c r="F112" s="860" t="s">
        <v>54</v>
      </c>
    </row>
    <row r="113" spans="1:6" ht="25.5">
      <c r="A113" s="751">
        <v>88278</v>
      </c>
      <c r="B113" s="103" t="s">
        <v>949</v>
      </c>
      <c r="C113" s="851" t="s">
        <v>354</v>
      </c>
      <c r="D113" s="852">
        <v>0.02</v>
      </c>
      <c r="E113" s="223">
        <v>14.21</v>
      </c>
      <c r="F113" s="470">
        <f>TRUNC(D113*E113,2)</f>
        <v>0.28000000000000003</v>
      </c>
    </row>
    <row r="114" spans="1:6" ht="25.5">
      <c r="A114" s="751">
        <v>88240</v>
      </c>
      <c r="B114" s="103" t="s">
        <v>935</v>
      </c>
      <c r="C114" s="851" t="s">
        <v>354</v>
      </c>
      <c r="D114" s="852">
        <v>0.06</v>
      </c>
      <c r="E114" s="223">
        <v>11.43</v>
      </c>
      <c r="F114" s="470">
        <f>TRUNC(D114*E114,2)</f>
        <v>0.68</v>
      </c>
    </row>
    <row r="115" spans="1:6">
      <c r="A115" s="361"/>
      <c r="B115" s="853"/>
      <c r="C115" s="851"/>
      <c r="D115" s="854"/>
      <c r="E115" s="438" t="s">
        <v>60</v>
      </c>
      <c r="F115" s="472">
        <f>SUM(F113:F114)</f>
        <v>0.96000000000000008</v>
      </c>
    </row>
    <row r="116" spans="1:6" ht="25.5">
      <c r="A116" s="855" t="s">
        <v>937</v>
      </c>
      <c r="B116" s="856" t="s">
        <v>938</v>
      </c>
      <c r="C116" s="857" t="s">
        <v>51</v>
      </c>
      <c r="D116" s="858" t="s">
        <v>52</v>
      </c>
      <c r="E116" s="859" t="s">
        <v>53</v>
      </c>
      <c r="F116" s="860" t="s">
        <v>54</v>
      </c>
    </row>
    <row r="117" spans="1:6" ht="38.25">
      <c r="A117" s="145">
        <v>89272</v>
      </c>
      <c r="B117" s="103" t="s">
        <v>950</v>
      </c>
      <c r="C117" s="851" t="s">
        <v>411</v>
      </c>
      <c r="D117" s="852">
        <v>0.01</v>
      </c>
      <c r="E117" s="223">
        <v>131.22999999999999</v>
      </c>
      <c r="F117" s="470">
        <f>TRUNC(D117*E117,2)</f>
        <v>1.31</v>
      </c>
    </row>
    <row r="118" spans="1:6">
      <c r="A118" s="361"/>
      <c r="B118" s="853"/>
      <c r="C118" s="851"/>
      <c r="D118" s="854"/>
      <c r="E118" s="438" t="s">
        <v>60</v>
      </c>
      <c r="F118" s="472">
        <f>SUM(F117:F117)</f>
        <v>1.31</v>
      </c>
    </row>
    <row r="119" spans="1:6" ht="15.75" thickBot="1">
      <c r="A119" s="861"/>
      <c r="B119" s="2176" t="s">
        <v>55</v>
      </c>
      <c r="C119" s="2176"/>
      <c r="D119" s="2176"/>
      <c r="E119" s="2176"/>
      <c r="F119" s="862">
        <f>F115+F118</f>
        <v>2.27</v>
      </c>
    </row>
    <row r="120" spans="1:6" ht="15.75" thickBot="1"/>
    <row r="121" spans="1:6" ht="25.5">
      <c r="A121" s="419" t="s">
        <v>964</v>
      </c>
      <c r="B121" s="863" t="s">
        <v>954</v>
      </c>
      <c r="C121" s="357" t="s">
        <v>955</v>
      </c>
      <c r="D121" s="864"/>
      <c r="E121" s="865"/>
      <c r="F121" s="866"/>
    </row>
    <row r="122" spans="1:6">
      <c r="A122" s="2173" t="s">
        <v>966</v>
      </c>
      <c r="B122" s="2174"/>
      <c r="C122" s="2174"/>
      <c r="D122" s="2174"/>
      <c r="E122" s="2174"/>
      <c r="F122" s="2175"/>
    </row>
    <row r="123" spans="1:6" ht="25.5">
      <c r="A123" s="867"/>
      <c r="B123" s="856" t="s">
        <v>50</v>
      </c>
      <c r="C123" s="857" t="s">
        <v>51</v>
      </c>
      <c r="D123" s="858" t="s">
        <v>52</v>
      </c>
      <c r="E123" s="859" t="s">
        <v>53</v>
      </c>
      <c r="F123" s="860" t="s">
        <v>54</v>
      </c>
    </row>
    <row r="124" spans="1:6">
      <c r="A124" s="751">
        <v>88309</v>
      </c>
      <c r="B124" s="103" t="s">
        <v>104</v>
      </c>
      <c r="C124" s="851" t="s">
        <v>354</v>
      </c>
      <c r="D124" s="852">
        <v>0.15</v>
      </c>
      <c r="E124" s="223">
        <v>19.86</v>
      </c>
      <c r="F124" s="470">
        <f>TRUNC(D124*E124,2)</f>
        <v>2.97</v>
      </c>
    </row>
    <row r="125" spans="1:6">
      <c r="A125" s="145">
        <v>88316</v>
      </c>
      <c r="B125" s="103" t="s">
        <v>68</v>
      </c>
      <c r="C125" s="851" t="s">
        <v>354</v>
      </c>
      <c r="D125" s="868">
        <v>0.15</v>
      </c>
      <c r="E125" s="869">
        <v>15.65</v>
      </c>
      <c r="F125" s="470">
        <f>TRUNC(D125*E125,2)</f>
        <v>2.34</v>
      </c>
    </row>
    <row r="126" spans="1:6">
      <c r="A126" s="361"/>
      <c r="B126" s="853" t="s">
        <v>310</v>
      </c>
      <c r="C126" s="851"/>
      <c r="D126" s="854"/>
      <c r="E126" s="870"/>
      <c r="F126" s="472">
        <f>SUM(F124:F125)</f>
        <v>5.3100000000000005</v>
      </c>
    </row>
    <row r="127" spans="1:6" ht="25.5">
      <c r="A127" s="855" t="s">
        <v>937</v>
      </c>
      <c r="B127" s="856" t="s">
        <v>938</v>
      </c>
      <c r="C127" s="857" t="s">
        <v>51</v>
      </c>
      <c r="D127" s="858" t="s">
        <v>52</v>
      </c>
      <c r="E127" s="859" t="s">
        <v>53</v>
      </c>
      <c r="F127" s="860" t="s">
        <v>54</v>
      </c>
    </row>
    <row r="128" spans="1:6" ht="25.5">
      <c r="A128" s="145" t="s">
        <v>67</v>
      </c>
      <c r="B128" s="103" t="s">
        <v>956</v>
      </c>
      <c r="C128" s="851" t="s">
        <v>955</v>
      </c>
      <c r="D128" s="852">
        <v>1</v>
      </c>
      <c r="E128" s="223">
        <f>C135</f>
        <v>2.1800000000000002</v>
      </c>
      <c r="F128" s="470">
        <f>TRUNC(D128*E128,2)</f>
        <v>2.1800000000000002</v>
      </c>
    </row>
    <row r="129" spans="1:6">
      <c r="A129" s="361"/>
      <c r="B129" s="853" t="s">
        <v>310</v>
      </c>
      <c r="C129" s="851"/>
      <c r="D129" s="854"/>
      <c r="E129" s="870"/>
      <c r="F129" s="472">
        <f>SUM(F128:F128)</f>
        <v>2.1800000000000002</v>
      </c>
    </row>
    <row r="130" spans="1:6" ht="15.75" thickBot="1">
      <c r="A130" s="861"/>
      <c r="B130" s="2176" t="s">
        <v>55</v>
      </c>
      <c r="C130" s="2176"/>
      <c r="D130" s="2176"/>
      <c r="E130" s="2176"/>
      <c r="F130" s="862">
        <f>F126+F129</f>
        <v>7.49</v>
      </c>
    </row>
    <row r="131" spans="1:6" ht="15.75" thickBot="1">
      <c r="A131" s="871"/>
      <c r="B131" s="2076" t="s">
        <v>96</v>
      </c>
      <c r="C131" s="2077"/>
      <c r="D131" s="2077"/>
      <c r="E131" s="2078"/>
      <c r="F131" s="872"/>
    </row>
    <row r="132" spans="1:6" ht="25.5">
      <c r="A132" s="873" t="s">
        <v>302</v>
      </c>
      <c r="B132" s="874" t="str">
        <f>B128</f>
        <v xml:space="preserve">PARAFUSO DE ACO TIPO CHUMBADOR PARABOLT, WALSYWA CBPL 14300 1/4" </v>
      </c>
      <c r="C132" s="875" t="str">
        <f>C128</f>
        <v xml:space="preserve">UN </v>
      </c>
      <c r="D132" s="2185" t="s">
        <v>62</v>
      </c>
      <c r="E132" s="2186"/>
      <c r="F132" s="876" t="s">
        <v>957</v>
      </c>
    </row>
    <row r="133" spans="1:6">
      <c r="A133" s="222">
        <v>44348</v>
      </c>
      <c r="B133" s="877" t="s">
        <v>958</v>
      </c>
      <c r="C133" s="854">
        <f>TRUNC(437.29/200,2)</f>
        <v>2.1800000000000002</v>
      </c>
      <c r="D133" s="2187" t="s">
        <v>959</v>
      </c>
      <c r="E133" s="2188"/>
      <c r="F133" s="878" t="s">
        <v>960</v>
      </c>
    </row>
    <row r="134" spans="1:6" ht="25.5">
      <c r="A134" s="222"/>
      <c r="B134" s="103" t="s">
        <v>961</v>
      </c>
      <c r="C134" s="854"/>
      <c r="D134" s="2187"/>
      <c r="E134" s="2188"/>
      <c r="F134" s="878"/>
    </row>
    <row r="135" spans="1:6" ht="15.75" thickBot="1">
      <c r="A135" s="879"/>
      <c r="B135" s="880" t="s">
        <v>63</v>
      </c>
      <c r="C135" s="881">
        <f>MEDIAN(C133:C134)</f>
        <v>2.1800000000000002</v>
      </c>
      <c r="D135" s="2189"/>
      <c r="E135" s="2190"/>
      <c r="F135" s="882"/>
    </row>
    <row r="136" spans="1:6" ht="27" customHeight="1" thickBot="1">
      <c r="A136" s="2182" t="s">
        <v>962</v>
      </c>
      <c r="B136" s="2183"/>
      <c r="C136" s="2183"/>
      <c r="D136" s="2183"/>
      <c r="E136" s="2183"/>
      <c r="F136" s="2184"/>
    </row>
    <row r="137" spans="1:6" ht="5.25" customHeight="1" thickBot="1"/>
    <row r="138" spans="1:6" ht="43.5" customHeight="1" thickBot="1">
      <c r="A138" s="2113" t="s">
        <v>136</v>
      </c>
      <c r="B138" s="2114"/>
      <c r="C138" s="2002" t="s">
        <v>116</v>
      </c>
      <c r="D138" s="2002"/>
      <c r="E138" s="2002"/>
      <c r="F138" s="2003"/>
    </row>
    <row r="144" spans="1:6" ht="31.5" customHeight="1"/>
    <row r="151" spans="8:8">
      <c r="H151" s="132" t="s">
        <v>767</v>
      </c>
    </row>
  </sheetData>
  <mergeCells count="35">
    <mergeCell ref="A138:B138"/>
    <mergeCell ref="C138:F138"/>
    <mergeCell ref="A136:F136"/>
    <mergeCell ref="B131:E131"/>
    <mergeCell ref="B119:E119"/>
    <mergeCell ref="A122:F122"/>
    <mergeCell ref="B130:E130"/>
    <mergeCell ref="D132:E132"/>
    <mergeCell ref="D133:E133"/>
    <mergeCell ref="D134:E134"/>
    <mergeCell ref="D135:E135"/>
    <mergeCell ref="A87:F87"/>
    <mergeCell ref="A90:F90"/>
    <mergeCell ref="B108:E108"/>
    <mergeCell ref="A111:F111"/>
    <mergeCell ref="B3:F3"/>
    <mergeCell ref="B4:F4"/>
    <mergeCell ref="B5:F5"/>
    <mergeCell ref="A14:F14"/>
    <mergeCell ref="D15:E15"/>
    <mergeCell ref="A52:F52"/>
    <mergeCell ref="B68:E68"/>
    <mergeCell ref="B86:E86"/>
    <mergeCell ref="D70:E70"/>
    <mergeCell ref="A16:F16"/>
    <mergeCell ref="B28:E28"/>
    <mergeCell ref="B29:E29"/>
    <mergeCell ref="A71:F71"/>
    <mergeCell ref="D30:E30"/>
    <mergeCell ref="D51:E51"/>
    <mergeCell ref="A31:F31"/>
    <mergeCell ref="B39:E39"/>
    <mergeCell ref="D41:E41"/>
    <mergeCell ref="A42:F42"/>
    <mergeCell ref="B49:E49"/>
  </mergeCells>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18:A19 A33:A34 A44 A73:A76"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3"/>
  <sheetViews>
    <sheetView topLeftCell="A283" workbookViewId="0">
      <selection activeCell="A303" sqref="A303:F303"/>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140"/>
      <c r="B1" s="141"/>
      <c r="C1" s="141"/>
      <c r="D1" s="141"/>
      <c r="E1" s="141"/>
      <c r="F1" s="142"/>
    </row>
    <row r="2" spans="1:8">
      <c r="A2" s="135"/>
      <c r="B2" s="46"/>
      <c r="C2" s="46"/>
      <c r="D2" s="46"/>
      <c r="E2" s="46"/>
      <c r="F2" s="136"/>
    </row>
    <row r="3" spans="1:8">
      <c r="A3" s="135"/>
      <c r="B3" s="2004" t="s">
        <v>127</v>
      </c>
      <c r="C3" s="2004"/>
      <c r="D3" s="2004"/>
      <c r="E3" s="2004"/>
      <c r="F3" s="2101"/>
    </row>
    <row r="4" spans="1:8">
      <c r="A4" s="135"/>
      <c r="B4" s="2004" t="s">
        <v>128</v>
      </c>
      <c r="C4" s="2004"/>
      <c r="D4" s="2004"/>
      <c r="E4" s="2004"/>
      <c r="F4" s="2101"/>
    </row>
    <row r="5" spans="1:8">
      <c r="A5" s="135"/>
      <c r="B5" s="2108" t="s">
        <v>284</v>
      </c>
      <c r="C5" s="2108"/>
      <c r="D5" s="2108"/>
      <c r="E5" s="2108"/>
      <c r="F5" s="2109"/>
    </row>
    <row r="6" spans="1:8" ht="15.75" thickBot="1">
      <c r="A6" s="245"/>
      <c r="B6" s="1257"/>
      <c r="C6" s="1257"/>
      <c r="D6" s="1257"/>
      <c r="E6" s="1257"/>
      <c r="F6" s="1667"/>
    </row>
    <row r="7" spans="1:8" ht="3.75" customHeight="1" thickBot="1"/>
    <row r="8" spans="1:8">
      <c r="A8" s="242" t="s">
        <v>0</v>
      </c>
      <c r="B8" s="141" t="str">
        <f>'PLANILHA SEM DESON'!B7:C7</f>
        <v>364778/2019</v>
      </c>
      <c r="C8" s="141"/>
      <c r="D8" s="141"/>
      <c r="E8" s="243" t="s">
        <v>131</v>
      </c>
      <c r="F8" s="716">
        <f>'PLANILHA SEM DESON'!I10</f>
        <v>44414</v>
      </c>
    </row>
    <row r="9" spans="1:8">
      <c r="A9" s="214" t="s">
        <v>1</v>
      </c>
      <c r="B9" s="46" t="str">
        <f>'PLANILHA SEM DESON'!B8:C8</f>
        <v>CONSTRUÇÃO DE DIRETORIA DE UNIDADE DESCONCENTRADA DA SEMA - DUDS</v>
      </c>
      <c r="C9" s="46"/>
      <c r="D9" s="46"/>
      <c r="E9" s="46"/>
      <c r="F9" s="136"/>
    </row>
    <row r="10" spans="1:8">
      <c r="A10" s="214" t="s">
        <v>2</v>
      </c>
      <c r="B10" s="46" t="str">
        <f>'PLANILHA SEM DESON'!B9:C9</f>
        <v>Rua Erichin, esquina com Rua Circular - Bairro Residencial Arco Íris</v>
      </c>
      <c r="C10" s="46"/>
      <c r="D10" s="46"/>
      <c r="E10" s="46"/>
      <c r="F10" s="136"/>
    </row>
    <row r="11" spans="1:8">
      <c r="A11" s="214" t="s">
        <v>4</v>
      </c>
      <c r="B11" s="46" t="str">
        <f>'PLANILHA SEM DESON'!B10:C10</f>
        <v>CONFRESA - MT</v>
      </c>
      <c r="C11" s="46"/>
      <c r="D11" s="46"/>
      <c r="E11" s="46"/>
      <c r="F11" s="136"/>
    </row>
    <row r="12" spans="1:8" ht="15.75" thickBot="1">
      <c r="A12" s="215" t="s">
        <v>6</v>
      </c>
      <c r="B12" s="1257" t="str">
        <f>'PLANILHA SEM DESON'!B11</f>
        <v xml:space="preserve">CONSTRUÇÃO </v>
      </c>
      <c r="C12" s="1257"/>
      <c r="D12" s="1257"/>
      <c r="E12" s="1257"/>
      <c r="F12" s="1667"/>
    </row>
    <row r="13" spans="1:8" ht="3.75" customHeight="1" thickBot="1">
      <c r="A13" s="46"/>
    </row>
    <row r="14" spans="1:8" ht="15.75" thickBot="1">
      <c r="A14" s="2110" t="s">
        <v>413</v>
      </c>
      <c r="B14" s="2111"/>
      <c r="C14" s="2111"/>
      <c r="D14" s="2111"/>
      <c r="E14" s="2111"/>
      <c r="F14" s="2112"/>
      <c r="H14" s="427"/>
    </row>
    <row r="15" spans="1:8" ht="25.5">
      <c r="A15" s="419" t="s">
        <v>414</v>
      </c>
      <c r="B15" s="253" t="s">
        <v>415</v>
      </c>
      <c r="C15" s="428" t="s">
        <v>57</v>
      </c>
      <c r="D15" s="160"/>
      <c r="E15" s="161"/>
      <c r="F15" s="240"/>
      <c r="G15" s="426"/>
      <c r="H15" s="426"/>
    </row>
    <row r="16" spans="1:8">
      <c r="A16" s="2164" t="s">
        <v>1383</v>
      </c>
      <c r="B16" s="2165"/>
      <c r="C16" s="2165"/>
      <c r="D16" s="2165"/>
      <c r="E16" s="2165"/>
      <c r="F16" s="2166"/>
    </row>
    <row r="17" spans="1:8" ht="25.5">
      <c r="A17" s="254"/>
      <c r="B17" s="429" t="s">
        <v>58</v>
      </c>
      <c r="C17" s="430" t="s">
        <v>51</v>
      </c>
      <c r="D17" s="431" t="s">
        <v>52</v>
      </c>
      <c r="E17" s="432" t="s">
        <v>64</v>
      </c>
      <c r="F17" s="433" t="s">
        <v>54</v>
      </c>
    </row>
    <row r="18" spans="1:8" ht="25.5">
      <c r="A18" s="434" t="s">
        <v>416</v>
      </c>
      <c r="B18" s="435" t="s">
        <v>102</v>
      </c>
      <c r="C18" s="340" t="s">
        <v>59</v>
      </c>
      <c r="D18" s="436">
        <v>0.108</v>
      </c>
      <c r="E18" s="202">
        <v>15.08</v>
      </c>
      <c r="F18" s="366">
        <f>TRUNC((D18*E18),2)</f>
        <v>1.62</v>
      </c>
    </row>
    <row r="19" spans="1:8" ht="25.5">
      <c r="A19" s="434" t="s">
        <v>417</v>
      </c>
      <c r="B19" s="435" t="s">
        <v>103</v>
      </c>
      <c r="C19" s="340" t="s">
        <v>59</v>
      </c>
      <c r="D19" s="436">
        <v>0.108</v>
      </c>
      <c r="E19" s="202">
        <v>19.920000000000002</v>
      </c>
      <c r="F19" s="366">
        <f>TRUNC((D19*E19),2)</f>
        <v>2.15</v>
      </c>
    </row>
    <row r="20" spans="1:8">
      <c r="A20" s="187"/>
      <c r="B20" s="186"/>
      <c r="C20" s="340" t="s">
        <v>43</v>
      </c>
      <c r="D20" s="437" t="s">
        <v>43</v>
      </c>
      <c r="E20" s="438" t="s">
        <v>60</v>
      </c>
      <c r="F20" s="439">
        <f>SUM(F18:F19)</f>
        <v>3.77</v>
      </c>
    </row>
    <row r="21" spans="1:8" ht="25.5">
      <c r="A21" s="187"/>
      <c r="B21" s="440" t="s">
        <v>95</v>
      </c>
      <c r="C21" s="370" t="s">
        <v>51</v>
      </c>
      <c r="D21" s="441" t="s">
        <v>52</v>
      </c>
      <c r="E21" s="442" t="s">
        <v>64</v>
      </c>
      <c r="F21" s="439" t="s">
        <v>54</v>
      </c>
    </row>
    <row r="22" spans="1:8">
      <c r="A22" s="434" t="s">
        <v>418</v>
      </c>
      <c r="B22" s="435" t="s">
        <v>122</v>
      </c>
      <c r="C22" s="340" t="s">
        <v>57</v>
      </c>
      <c r="D22" s="443">
        <v>1.7999999999999999E-2</v>
      </c>
      <c r="E22" s="223">
        <v>81.209999999999994</v>
      </c>
      <c r="F22" s="366">
        <f>TRUNC((D22*E22),2)</f>
        <v>1.46</v>
      </c>
      <c r="H22" s="444"/>
    </row>
    <row r="23" spans="1:8" ht="25.5">
      <c r="A23" s="434" t="s">
        <v>419</v>
      </c>
      <c r="B23" s="435" t="s">
        <v>420</v>
      </c>
      <c r="C23" s="340" t="s">
        <v>57</v>
      </c>
      <c r="D23" s="443">
        <v>1</v>
      </c>
      <c r="E23" s="223">
        <v>5.54</v>
      </c>
      <c r="F23" s="366">
        <f>TRUNC((D23*E23),2)</f>
        <v>5.54</v>
      </c>
      <c r="H23" s="444"/>
    </row>
    <row r="24" spans="1:8">
      <c r="A24" s="434" t="s">
        <v>421</v>
      </c>
      <c r="B24" s="435" t="s">
        <v>123</v>
      </c>
      <c r="C24" s="340" t="s">
        <v>57</v>
      </c>
      <c r="D24" s="436">
        <v>2.1999999999999999E-2</v>
      </c>
      <c r="E24" s="223">
        <v>70.52</v>
      </c>
      <c r="F24" s="366">
        <f>TRUNC((D24*E24),2)</f>
        <v>1.55</v>
      </c>
      <c r="H24" s="444"/>
    </row>
    <row r="25" spans="1:8">
      <c r="A25" s="434" t="s">
        <v>422</v>
      </c>
      <c r="B25" s="435" t="s">
        <v>165</v>
      </c>
      <c r="C25" s="340" t="s">
        <v>57</v>
      </c>
      <c r="D25" s="436">
        <v>2.4E-2</v>
      </c>
      <c r="E25" s="223">
        <v>2.19</v>
      </c>
      <c r="F25" s="366">
        <f>TRUNC((D25*E25),2)</f>
        <v>0.05</v>
      </c>
      <c r="H25" s="445"/>
    </row>
    <row r="26" spans="1:8" ht="15.75" thickBot="1">
      <c r="A26" s="206"/>
      <c r="B26" s="369"/>
      <c r="C26" s="446"/>
      <c r="D26" s="447"/>
      <c r="E26" s="448" t="s">
        <v>60</v>
      </c>
      <c r="F26" s="405">
        <f>SUM(F22:F25)</f>
        <v>8.6000000000000014</v>
      </c>
      <c r="H26" s="449"/>
    </row>
    <row r="27" spans="1:8" ht="15.75" thickBot="1">
      <c r="A27" s="104"/>
      <c r="B27" s="2194" t="s">
        <v>55</v>
      </c>
      <c r="C27" s="2194"/>
      <c r="D27" s="2194"/>
      <c r="E27" s="2194"/>
      <c r="F27" s="404">
        <f>F20+F26</f>
        <v>12.370000000000001</v>
      </c>
      <c r="H27" s="449"/>
    </row>
    <row r="28" spans="1:8" ht="15.75" thickBot="1">
      <c r="H28" s="373"/>
    </row>
    <row r="29" spans="1:8" ht="25.5">
      <c r="A29" s="419" t="s">
        <v>423</v>
      </c>
      <c r="B29" s="798" t="s">
        <v>1382</v>
      </c>
      <c r="C29" s="428" t="s">
        <v>57</v>
      </c>
      <c r="D29" s="160"/>
      <c r="E29" s="161"/>
      <c r="F29" s="240"/>
      <c r="G29" s="426"/>
      <c r="H29" s="426"/>
    </row>
    <row r="30" spans="1:8" ht="15" customHeight="1">
      <c r="A30" s="2164" t="s">
        <v>1383</v>
      </c>
      <c r="B30" s="2165"/>
      <c r="C30" s="2165"/>
      <c r="D30" s="2165"/>
      <c r="E30" s="2165"/>
      <c r="F30" s="2166"/>
    </row>
    <row r="31" spans="1:8" ht="25.5">
      <c r="A31" s="254"/>
      <c r="B31" s="429" t="s">
        <v>58</v>
      </c>
      <c r="C31" s="430" t="s">
        <v>51</v>
      </c>
      <c r="D31" s="431" t="s">
        <v>52</v>
      </c>
      <c r="E31" s="432" t="s">
        <v>64</v>
      </c>
      <c r="F31" s="433" t="s">
        <v>54</v>
      </c>
    </row>
    <row r="32" spans="1:8" ht="25.5">
      <c r="A32" s="421" t="s">
        <v>416</v>
      </c>
      <c r="B32" s="435" t="s">
        <v>102</v>
      </c>
      <c r="C32" s="340" t="s">
        <v>59</v>
      </c>
      <c r="D32" s="436">
        <v>0.108</v>
      </c>
      <c r="E32" s="202">
        <v>15.08</v>
      </c>
      <c r="F32" s="366">
        <f>TRUNC((D32*E32),2)</f>
        <v>1.62</v>
      </c>
      <c r="H32" s="450"/>
    </row>
    <row r="33" spans="1:9" ht="25.5">
      <c r="A33" s="421" t="s">
        <v>417</v>
      </c>
      <c r="B33" s="435" t="s">
        <v>103</v>
      </c>
      <c r="C33" s="340" t="s">
        <v>59</v>
      </c>
      <c r="D33" s="436">
        <v>0.108</v>
      </c>
      <c r="E33" s="202">
        <v>19.920000000000002</v>
      </c>
      <c r="F33" s="366">
        <f>TRUNC((D33*E33),2)</f>
        <v>2.15</v>
      </c>
      <c r="H33" s="450"/>
    </row>
    <row r="34" spans="1:9">
      <c r="A34" s="187"/>
      <c r="B34" s="186"/>
      <c r="C34" s="340" t="s">
        <v>43</v>
      </c>
      <c r="D34" s="437" t="s">
        <v>43</v>
      </c>
      <c r="E34" s="438" t="s">
        <v>60</v>
      </c>
      <c r="F34" s="439">
        <f>SUM(F32:F33)</f>
        <v>3.77</v>
      </c>
      <c r="H34" s="450"/>
    </row>
    <row r="35" spans="1:9" ht="25.5">
      <c r="A35" s="187"/>
      <c r="B35" s="440" t="s">
        <v>95</v>
      </c>
      <c r="C35" s="370" t="s">
        <v>51</v>
      </c>
      <c r="D35" s="441" t="s">
        <v>52</v>
      </c>
      <c r="E35" s="442" t="s">
        <v>64</v>
      </c>
      <c r="F35" s="439" t="s">
        <v>54</v>
      </c>
      <c r="H35" s="450"/>
    </row>
    <row r="36" spans="1:9">
      <c r="A36" s="421" t="s">
        <v>418</v>
      </c>
      <c r="B36" s="435" t="s">
        <v>122</v>
      </c>
      <c r="C36" s="340" t="s">
        <v>57</v>
      </c>
      <c r="D36" s="443">
        <v>1.7999999999999999E-2</v>
      </c>
      <c r="E36" s="223">
        <v>81.209999999999994</v>
      </c>
      <c r="F36" s="366">
        <f>TRUNC((D36*E36),2)</f>
        <v>1.46</v>
      </c>
      <c r="H36" s="450"/>
      <c r="I36" s="444"/>
    </row>
    <row r="37" spans="1:9" ht="25.5">
      <c r="A37" s="421">
        <v>3538</v>
      </c>
      <c r="B37" s="204" t="s">
        <v>1382</v>
      </c>
      <c r="C37" s="340" t="s">
        <v>57</v>
      </c>
      <c r="D37" s="443">
        <v>1</v>
      </c>
      <c r="E37" s="223">
        <v>3.88</v>
      </c>
      <c r="F37" s="366">
        <f>TRUNC((D37*E37),2)</f>
        <v>3.88</v>
      </c>
      <c r="H37" s="450"/>
      <c r="I37" s="444"/>
    </row>
    <row r="38" spans="1:9">
      <c r="A38" s="421" t="s">
        <v>421</v>
      </c>
      <c r="B38" s="435" t="s">
        <v>123</v>
      </c>
      <c r="C38" s="340" t="s">
        <v>57</v>
      </c>
      <c r="D38" s="436">
        <v>2.1999999999999999E-2</v>
      </c>
      <c r="E38" s="223">
        <v>70.52</v>
      </c>
      <c r="F38" s="366">
        <f>TRUNC((D38*E38),2)</f>
        <v>1.55</v>
      </c>
      <c r="H38" s="450"/>
      <c r="I38" s="444"/>
    </row>
    <row r="39" spans="1:9" ht="25.5">
      <c r="A39" s="421">
        <v>3767</v>
      </c>
      <c r="B39" s="435" t="s">
        <v>172</v>
      </c>
      <c r="C39" s="340" t="s">
        <v>57</v>
      </c>
      <c r="D39" s="436">
        <v>2.4E-2</v>
      </c>
      <c r="E39" s="223">
        <v>2.19</v>
      </c>
      <c r="F39" s="366">
        <f>TRUNC((D39*E39),2)</f>
        <v>0.05</v>
      </c>
      <c r="H39" s="450"/>
      <c r="I39" s="444"/>
    </row>
    <row r="40" spans="1:9" ht="15.75" thickBot="1">
      <c r="A40" s="206"/>
      <c r="B40" s="369"/>
      <c r="C40" s="446"/>
      <c r="D40" s="447"/>
      <c r="E40" s="448" t="s">
        <v>60</v>
      </c>
      <c r="F40" s="405">
        <f>SUM(F36:F39)</f>
        <v>6.9399999999999995</v>
      </c>
    </row>
    <row r="41" spans="1:9" ht="15.75" thickBot="1">
      <c r="A41" s="104"/>
      <c r="B41" s="2194" t="s">
        <v>55</v>
      </c>
      <c r="C41" s="2194"/>
      <c r="D41" s="2194"/>
      <c r="E41" s="2194"/>
      <c r="F41" s="404">
        <f>F34+F40</f>
        <v>10.709999999999999</v>
      </c>
    </row>
    <row r="42" spans="1:9" ht="15.75" thickBot="1"/>
    <row r="43" spans="1:9" ht="26.25" customHeight="1">
      <c r="A43" s="419" t="s">
        <v>425</v>
      </c>
      <c r="B43" s="253" t="s">
        <v>1363</v>
      </c>
      <c r="C43" s="428" t="s">
        <v>57</v>
      </c>
      <c r="D43" s="160"/>
      <c r="E43" s="161"/>
      <c r="F43" s="240"/>
      <c r="H43" s="426"/>
    </row>
    <row r="44" spans="1:9" ht="15" customHeight="1">
      <c r="A44" s="2164" t="s">
        <v>1383</v>
      </c>
      <c r="B44" s="2165"/>
      <c r="C44" s="2165"/>
      <c r="D44" s="2165"/>
      <c r="E44" s="2165"/>
      <c r="F44" s="2166"/>
      <c r="H44" s="373"/>
    </row>
    <row r="45" spans="1:9" ht="25.5">
      <c r="A45" s="254"/>
      <c r="B45" s="429" t="s">
        <v>58</v>
      </c>
      <c r="C45" s="430" t="s">
        <v>51</v>
      </c>
      <c r="D45" s="431" t="s">
        <v>52</v>
      </c>
      <c r="E45" s="432" t="s">
        <v>64</v>
      </c>
      <c r="F45" s="433" t="s">
        <v>54</v>
      </c>
      <c r="H45" s="451"/>
    </row>
    <row r="46" spans="1:9" ht="25.5">
      <c r="A46" s="434" t="s">
        <v>416</v>
      </c>
      <c r="B46" s="435" t="s">
        <v>102</v>
      </c>
      <c r="C46" s="340" t="s">
        <v>59</v>
      </c>
      <c r="D46" s="436">
        <v>0.108</v>
      </c>
      <c r="E46" s="202">
        <v>15.08</v>
      </c>
      <c r="F46" s="366">
        <f>TRUNC((D46*E46),2)</f>
        <v>1.62</v>
      </c>
      <c r="H46" s="452"/>
    </row>
    <row r="47" spans="1:9" ht="25.5">
      <c r="A47" s="434" t="s">
        <v>417</v>
      </c>
      <c r="B47" s="435" t="s">
        <v>103</v>
      </c>
      <c r="C47" s="340" t="s">
        <v>59</v>
      </c>
      <c r="D47" s="436">
        <v>0.108</v>
      </c>
      <c r="E47" s="202">
        <v>19.920000000000002</v>
      </c>
      <c r="F47" s="366">
        <f>TRUNC((D47*E47),2)</f>
        <v>2.15</v>
      </c>
      <c r="H47" s="452"/>
    </row>
    <row r="48" spans="1:9">
      <c r="A48" s="187"/>
      <c r="B48" s="186"/>
      <c r="C48" s="340" t="s">
        <v>43</v>
      </c>
      <c r="D48" s="437" t="s">
        <v>43</v>
      </c>
      <c r="E48" s="438" t="s">
        <v>60</v>
      </c>
      <c r="F48" s="439">
        <f>SUM(F46:F47)</f>
        <v>3.77</v>
      </c>
      <c r="H48" s="451"/>
    </row>
    <row r="49" spans="1:9" ht="25.5">
      <c r="A49" s="187"/>
      <c r="B49" s="440" t="s">
        <v>95</v>
      </c>
      <c r="C49" s="370" t="s">
        <v>51</v>
      </c>
      <c r="D49" s="441" t="s">
        <v>52</v>
      </c>
      <c r="E49" s="442" t="s">
        <v>64</v>
      </c>
      <c r="F49" s="439" t="s">
        <v>54</v>
      </c>
      <c r="H49" s="451"/>
    </row>
    <row r="50" spans="1:9">
      <c r="A50" s="434" t="s">
        <v>418</v>
      </c>
      <c r="B50" s="435" t="s">
        <v>122</v>
      </c>
      <c r="C50" s="340" t="s">
        <v>57</v>
      </c>
      <c r="D50" s="443">
        <v>1.7999999999999999E-2</v>
      </c>
      <c r="E50" s="223">
        <v>81.209999999999994</v>
      </c>
      <c r="F50" s="366">
        <f>TRUNC((D50*E50),2)</f>
        <v>1.46</v>
      </c>
      <c r="H50" s="904"/>
      <c r="I50" s="905"/>
    </row>
    <row r="51" spans="1:9" ht="25.5">
      <c r="A51" s="434">
        <v>3511</v>
      </c>
      <c r="B51" s="435" t="s">
        <v>424</v>
      </c>
      <c r="C51" s="340" t="s">
        <v>57</v>
      </c>
      <c r="D51" s="443">
        <v>1</v>
      </c>
      <c r="E51" s="223">
        <v>90.36</v>
      </c>
      <c r="F51" s="366">
        <f>TRUNC((D51*E51),2)</f>
        <v>90.36</v>
      </c>
      <c r="H51" s="904"/>
      <c r="I51" s="905"/>
    </row>
    <row r="52" spans="1:9">
      <c r="A52" s="434" t="s">
        <v>421</v>
      </c>
      <c r="B52" s="435" t="s">
        <v>123</v>
      </c>
      <c r="C52" s="340" t="s">
        <v>57</v>
      </c>
      <c r="D52" s="436">
        <v>2.1999999999999999E-2</v>
      </c>
      <c r="E52" s="223">
        <v>70.52</v>
      </c>
      <c r="F52" s="366">
        <f>TRUNC((D52*E52),2)</f>
        <v>1.55</v>
      </c>
      <c r="H52" s="904"/>
      <c r="I52" s="905"/>
    </row>
    <row r="53" spans="1:9" ht="25.5">
      <c r="A53" s="434">
        <v>3767</v>
      </c>
      <c r="B53" s="435" t="s">
        <v>172</v>
      </c>
      <c r="C53" s="340" t="s">
        <v>57</v>
      </c>
      <c r="D53" s="436">
        <v>2.4E-2</v>
      </c>
      <c r="E53" s="223">
        <v>2.19</v>
      </c>
      <c r="F53" s="366">
        <f>TRUNC((D53*E53),2)</f>
        <v>0.05</v>
      </c>
      <c r="H53" s="904"/>
      <c r="I53" s="905"/>
    </row>
    <row r="54" spans="1:9" ht="15.75" thickBot="1">
      <c r="A54" s="206"/>
      <c r="B54" s="369"/>
      <c r="C54" s="446"/>
      <c r="D54" s="447"/>
      <c r="E54" s="448" t="s">
        <v>60</v>
      </c>
      <c r="F54" s="405">
        <f>SUM(F50:F53)</f>
        <v>93.419999999999987</v>
      </c>
      <c r="H54" s="906"/>
      <c r="I54" s="906"/>
    </row>
    <row r="55" spans="1:9" ht="15.75" thickBot="1">
      <c r="A55" s="104"/>
      <c r="B55" s="2194" t="s">
        <v>55</v>
      </c>
      <c r="C55" s="2194"/>
      <c r="D55" s="2194"/>
      <c r="E55" s="2194"/>
      <c r="F55" s="404">
        <f>F48+F54</f>
        <v>97.189999999999984</v>
      </c>
      <c r="H55" s="906"/>
      <c r="I55" s="906"/>
    </row>
    <row r="56" spans="1:9" ht="15.75" thickBot="1">
      <c r="H56" s="906"/>
      <c r="I56" s="906"/>
    </row>
    <row r="57" spans="1:9" ht="26.25" thickBot="1">
      <c r="A57" s="467" t="s">
        <v>426</v>
      </c>
      <c r="B57" s="485" t="s">
        <v>1378</v>
      </c>
      <c r="C57" s="1668" t="s">
        <v>57</v>
      </c>
      <c r="D57" s="1669"/>
      <c r="E57" s="1670"/>
      <c r="F57" s="1671"/>
      <c r="G57" s="426"/>
      <c r="H57" s="907"/>
      <c r="I57" s="61"/>
    </row>
    <row r="58" spans="1:9">
      <c r="A58" s="2196" t="s">
        <v>1379</v>
      </c>
      <c r="B58" s="2197"/>
      <c r="C58" s="2197"/>
      <c r="D58" s="2197"/>
      <c r="E58" s="2197"/>
      <c r="F58" s="2198"/>
    </row>
    <row r="59" spans="1:9" ht="25.5">
      <c r="A59" s="254"/>
      <c r="B59" s="429" t="s">
        <v>58</v>
      </c>
      <c r="C59" s="430" t="s">
        <v>51</v>
      </c>
      <c r="D59" s="431" t="s">
        <v>52</v>
      </c>
      <c r="E59" s="432" t="s">
        <v>64</v>
      </c>
      <c r="F59" s="433" t="s">
        <v>54</v>
      </c>
    </row>
    <row r="60" spans="1:9" ht="25.5">
      <c r="A60" s="421" t="s">
        <v>416</v>
      </c>
      <c r="B60" s="435" t="s">
        <v>102</v>
      </c>
      <c r="C60" s="340" t="s">
        <v>59</v>
      </c>
      <c r="D60" s="436">
        <v>0.6</v>
      </c>
      <c r="E60" s="202">
        <v>15.08</v>
      </c>
      <c r="F60" s="1619">
        <f>TRUNC((D60*E60),2)</f>
        <v>9.0399999999999991</v>
      </c>
    </row>
    <row r="61" spans="1:9" ht="25.5">
      <c r="A61" s="421" t="s">
        <v>417</v>
      </c>
      <c r="B61" s="435" t="s">
        <v>103</v>
      </c>
      <c r="C61" s="340" t="s">
        <v>59</v>
      </c>
      <c r="D61" s="436">
        <v>0.6</v>
      </c>
      <c r="E61" s="202">
        <v>19.920000000000002</v>
      </c>
      <c r="F61" s="1619">
        <f>TRUNC((D61*E61),2)</f>
        <v>11.95</v>
      </c>
    </row>
    <row r="62" spans="1:9">
      <c r="A62" s="1621"/>
      <c r="B62" s="1025"/>
      <c r="C62" s="340" t="s">
        <v>43</v>
      </c>
      <c r="D62" s="437" t="s">
        <v>43</v>
      </c>
      <c r="E62" s="438" t="s">
        <v>60</v>
      </c>
      <c r="F62" s="1622">
        <f>SUM(F60:F61)</f>
        <v>20.99</v>
      </c>
    </row>
    <row r="63" spans="1:9" ht="25.5">
      <c r="A63" s="1621"/>
      <c r="B63" s="1623" t="s">
        <v>95</v>
      </c>
      <c r="C63" s="370" t="s">
        <v>51</v>
      </c>
      <c r="D63" s="441" t="s">
        <v>52</v>
      </c>
      <c r="E63" s="442" t="s">
        <v>64</v>
      </c>
      <c r="F63" s="1622" t="s">
        <v>54</v>
      </c>
      <c r="H63" s="453"/>
    </row>
    <row r="64" spans="1:9" ht="38.25">
      <c r="A64" s="421">
        <v>1413</v>
      </c>
      <c r="B64" s="204" t="s">
        <v>1380</v>
      </c>
      <c r="C64" s="340" t="s">
        <v>57</v>
      </c>
      <c r="D64" s="443">
        <v>1</v>
      </c>
      <c r="E64" s="223">
        <v>17.18</v>
      </c>
      <c r="F64" s="1619">
        <f>TRUNC((D64*E64),2)</f>
        <v>17.18</v>
      </c>
      <c r="H64" s="453"/>
    </row>
    <row r="65" spans="1:8">
      <c r="A65" s="421">
        <v>3148</v>
      </c>
      <c r="B65" s="204" t="s">
        <v>432</v>
      </c>
      <c r="C65" s="340" t="s">
        <v>57</v>
      </c>
      <c r="D65" s="443">
        <v>8.9999999999999993E-3</v>
      </c>
      <c r="E65" s="223">
        <v>18.329999999999998</v>
      </c>
      <c r="F65" s="1619">
        <f>TRUNC((D65*E65),2)</f>
        <v>0.16</v>
      </c>
      <c r="H65" s="453"/>
    </row>
    <row r="66" spans="1:8" ht="25.5">
      <c r="A66" s="421">
        <v>3907</v>
      </c>
      <c r="B66" s="204" t="s">
        <v>1381</v>
      </c>
      <c r="C66" s="340" t="s">
        <v>57</v>
      </c>
      <c r="D66" s="436">
        <v>1</v>
      </c>
      <c r="E66" s="223">
        <v>4.28</v>
      </c>
      <c r="F66" s="1619">
        <f>TRUNC((D66*E66),2)</f>
        <v>4.28</v>
      </c>
      <c r="H66" s="453"/>
    </row>
    <row r="67" spans="1:8" ht="15.75" thickBot="1">
      <c r="A67" s="206"/>
      <c r="B67" s="369"/>
      <c r="C67" s="1663"/>
      <c r="D67" s="447"/>
      <c r="E67" s="448" t="s">
        <v>60</v>
      </c>
      <c r="F67" s="405">
        <f>SUM(F64:F66)</f>
        <v>21.62</v>
      </c>
      <c r="H67" s="453"/>
    </row>
    <row r="68" spans="1:8" ht="15.75" thickBot="1">
      <c r="A68" s="104"/>
      <c r="B68" s="2100" t="s">
        <v>55</v>
      </c>
      <c r="C68" s="2100"/>
      <c r="D68" s="2100"/>
      <c r="E68" s="2100"/>
      <c r="F68" s="1624">
        <f>F62+F67</f>
        <v>42.61</v>
      </c>
      <c r="H68" s="453"/>
    </row>
    <row r="69" spans="1:8" ht="15.75" thickBot="1"/>
    <row r="70" spans="1:8" ht="25.5">
      <c r="A70" s="419" t="s">
        <v>428</v>
      </c>
      <c r="B70" s="253" t="s">
        <v>257</v>
      </c>
      <c r="C70" s="428" t="s">
        <v>56</v>
      </c>
      <c r="D70" s="160"/>
      <c r="E70" s="161"/>
      <c r="F70" s="240"/>
      <c r="G70" s="426"/>
      <c r="H70" s="426"/>
    </row>
    <row r="71" spans="1:8">
      <c r="A71" s="2164" t="s">
        <v>430</v>
      </c>
      <c r="B71" s="2165"/>
      <c r="C71" s="2165"/>
      <c r="D71" s="2165"/>
      <c r="E71" s="2165"/>
      <c r="F71" s="2166"/>
    </row>
    <row r="72" spans="1:8" ht="25.5">
      <c r="A72" s="254"/>
      <c r="B72" s="429" t="s">
        <v>58</v>
      </c>
      <c r="C72" s="430" t="s">
        <v>51</v>
      </c>
      <c r="D72" s="431" t="s">
        <v>52</v>
      </c>
      <c r="E72" s="432" t="s">
        <v>64</v>
      </c>
      <c r="F72" s="433" t="s">
        <v>54</v>
      </c>
      <c r="H72" s="453"/>
    </row>
    <row r="73" spans="1:8" ht="25.5">
      <c r="A73" s="434" t="s">
        <v>416</v>
      </c>
      <c r="B73" s="435" t="s">
        <v>102</v>
      </c>
      <c r="C73" s="340" t="s">
        <v>59</v>
      </c>
      <c r="D73" s="436">
        <v>2.9000000000000001E-2</v>
      </c>
      <c r="E73" s="202">
        <v>15.08</v>
      </c>
      <c r="F73" s="366">
        <f>TRUNC((D73*E73),2)</f>
        <v>0.43</v>
      </c>
      <c r="H73" s="453"/>
    </row>
    <row r="74" spans="1:8" ht="25.5">
      <c r="A74" s="434" t="s">
        <v>417</v>
      </c>
      <c r="B74" s="435" t="s">
        <v>103</v>
      </c>
      <c r="C74" s="340" t="s">
        <v>59</v>
      </c>
      <c r="D74" s="436">
        <v>2.9000000000000001E-2</v>
      </c>
      <c r="E74" s="202">
        <v>19.920000000000002</v>
      </c>
      <c r="F74" s="366">
        <f>TRUNC((D74*E74),2)</f>
        <v>0.56999999999999995</v>
      </c>
      <c r="H74" s="453"/>
    </row>
    <row r="75" spans="1:8">
      <c r="A75" s="187"/>
      <c r="B75" s="186"/>
      <c r="C75" s="340" t="s">
        <v>43</v>
      </c>
      <c r="D75" s="437" t="s">
        <v>43</v>
      </c>
      <c r="E75" s="438" t="s">
        <v>60</v>
      </c>
      <c r="F75" s="439">
        <f>SUM(F73:F74)</f>
        <v>1</v>
      </c>
      <c r="H75" s="453"/>
    </row>
    <row r="76" spans="1:8" ht="25.5">
      <c r="A76" s="187"/>
      <c r="B76" s="440" t="s">
        <v>95</v>
      </c>
      <c r="C76" s="370" t="s">
        <v>51</v>
      </c>
      <c r="D76" s="441" t="s">
        <v>52</v>
      </c>
      <c r="E76" s="442" t="s">
        <v>64</v>
      </c>
      <c r="F76" s="439" t="s">
        <v>54</v>
      </c>
      <c r="H76" s="453"/>
    </row>
    <row r="77" spans="1:8" ht="25.5">
      <c r="A77" s="434">
        <v>9875</v>
      </c>
      <c r="B77" s="435" t="s">
        <v>1377</v>
      </c>
      <c r="C77" s="340" t="s">
        <v>57</v>
      </c>
      <c r="D77" s="436">
        <v>1.0609999999999999</v>
      </c>
      <c r="E77" s="223">
        <v>13.74</v>
      </c>
      <c r="F77" s="366">
        <f>TRUNC((D77*E77),2)</f>
        <v>14.57</v>
      </c>
      <c r="H77" s="453"/>
    </row>
    <row r="78" spans="1:8">
      <c r="A78" s="434">
        <v>38383</v>
      </c>
      <c r="B78" s="435" t="s">
        <v>165</v>
      </c>
      <c r="C78" s="340" t="s">
        <v>57</v>
      </c>
      <c r="D78" s="436">
        <v>0.01</v>
      </c>
      <c r="E78" s="102">
        <v>2.19</v>
      </c>
      <c r="F78" s="366">
        <f>TRUNC((D78*E78),2)</f>
        <v>0.02</v>
      </c>
    </row>
    <row r="79" spans="1:8" ht="15.75" thickBot="1">
      <c r="A79" s="206"/>
      <c r="B79" s="369"/>
      <c r="C79" s="446"/>
      <c r="D79" s="447"/>
      <c r="E79" s="448" t="s">
        <v>60</v>
      </c>
      <c r="F79" s="405">
        <f>SUM(F77:F78)</f>
        <v>14.59</v>
      </c>
    </row>
    <row r="80" spans="1:8" ht="15.75" thickBot="1">
      <c r="A80" s="104"/>
      <c r="B80" s="2194" t="s">
        <v>55</v>
      </c>
      <c r="C80" s="2194"/>
      <c r="D80" s="2194"/>
      <c r="E80" s="2194"/>
      <c r="F80" s="404">
        <f>F75+F79</f>
        <v>15.59</v>
      </c>
    </row>
    <row r="81" spans="1:8" ht="15.75" thickBot="1"/>
    <row r="82" spans="1:8" ht="38.25">
      <c r="A82" s="419" t="s">
        <v>429</v>
      </c>
      <c r="B82" s="253" t="s">
        <v>263</v>
      </c>
      <c r="C82" s="428" t="s">
        <v>57</v>
      </c>
      <c r="D82" s="160"/>
      <c r="E82" s="161"/>
      <c r="F82" s="240"/>
      <c r="G82" s="426"/>
      <c r="H82" s="426"/>
    </row>
    <row r="83" spans="1:8">
      <c r="A83" s="2164" t="s">
        <v>435</v>
      </c>
      <c r="B83" s="2165"/>
      <c r="C83" s="2165"/>
      <c r="D83" s="2165"/>
      <c r="E83" s="2165"/>
      <c r="F83" s="2166"/>
    </row>
    <row r="84" spans="1:8" ht="25.5">
      <c r="A84" s="254"/>
      <c r="B84" s="429" t="s">
        <v>58</v>
      </c>
      <c r="C84" s="430" t="s">
        <v>51</v>
      </c>
      <c r="D84" s="431" t="s">
        <v>52</v>
      </c>
      <c r="E84" s="432" t="s">
        <v>64</v>
      </c>
      <c r="F84" s="433" t="s">
        <v>54</v>
      </c>
    </row>
    <row r="85" spans="1:8" ht="25.5">
      <c r="A85" s="434" t="s">
        <v>416</v>
      </c>
      <c r="B85" s="435" t="s">
        <v>102</v>
      </c>
      <c r="C85" s="340" t="s">
        <v>59</v>
      </c>
      <c r="D85" s="436">
        <v>7.1999999999999995E-2</v>
      </c>
      <c r="E85" s="202">
        <v>15.08</v>
      </c>
      <c r="F85" s="366">
        <f>TRUNC((D85*E85),2)</f>
        <v>1.08</v>
      </c>
      <c r="H85" s="453"/>
    </row>
    <row r="86" spans="1:8" ht="25.5">
      <c r="A86" s="434" t="s">
        <v>417</v>
      </c>
      <c r="B86" s="435" t="s">
        <v>103</v>
      </c>
      <c r="C86" s="340" t="s">
        <v>59</v>
      </c>
      <c r="D86" s="436">
        <v>7.1999999999999995E-2</v>
      </c>
      <c r="E86" s="202">
        <v>19.920000000000002</v>
      </c>
      <c r="F86" s="366">
        <f>TRUNC((D86*E86),2)</f>
        <v>1.43</v>
      </c>
      <c r="H86" s="453"/>
    </row>
    <row r="87" spans="1:8">
      <c r="A87" s="187"/>
      <c r="B87" s="186"/>
      <c r="C87" s="340" t="s">
        <v>43</v>
      </c>
      <c r="D87" s="437" t="s">
        <v>43</v>
      </c>
      <c r="E87" s="438" t="s">
        <v>60</v>
      </c>
      <c r="F87" s="439">
        <f>SUM(F85:F86)</f>
        <v>2.5099999999999998</v>
      </c>
      <c r="H87" s="453"/>
    </row>
    <row r="88" spans="1:8" ht="25.5">
      <c r="A88" s="187"/>
      <c r="B88" s="440" t="s">
        <v>95</v>
      </c>
      <c r="C88" s="370" t="s">
        <v>51</v>
      </c>
      <c r="D88" s="441" t="s">
        <v>52</v>
      </c>
      <c r="E88" s="442" t="s">
        <v>64</v>
      </c>
      <c r="F88" s="439" t="s">
        <v>54</v>
      </c>
      <c r="H88" s="453"/>
    </row>
    <row r="89" spans="1:8" ht="25.5">
      <c r="A89" s="434">
        <v>112</v>
      </c>
      <c r="B89" s="398" t="s">
        <v>436</v>
      </c>
      <c r="C89" s="340" t="s">
        <v>57</v>
      </c>
      <c r="D89" s="436">
        <v>1</v>
      </c>
      <c r="E89" s="223">
        <v>4.3600000000000003</v>
      </c>
      <c r="F89" s="366">
        <f>TRUNC((D89*E89),2)</f>
        <v>4.3600000000000003</v>
      </c>
      <c r="H89" s="453"/>
    </row>
    <row r="90" spans="1:8">
      <c r="A90" s="434">
        <v>122</v>
      </c>
      <c r="B90" s="398" t="s">
        <v>122</v>
      </c>
      <c r="C90" s="340" t="s">
        <v>57</v>
      </c>
      <c r="D90" s="436">
        <v>1.7999999999999999E-2</v>
      </c>
      <c r="E90" s="223">
        <v>81.209999999999994</v>
      </c>
      <c r="F90" s="366">
        <f>TRUNC((D90*E90),2)</f>
        <v>1.46</v>
      </c>
      <c r="H90" s="453"/>
    </row>
    <row r="91" spans="1:8">
      <c r="A91" s="434">
        <v>20083</v>
      </c>
      <c r="B91" s="398" t="s">
        <v>123</v>
      </c>
      <c r="C91" s="340" t="s">
        <v>57</v>
      </c>
      <c r="D91" s="436">
        <v>2.1999999999999999E-2</v>
      </c>
      <c r="E91" s="223">
        <v>70.52</v>
      </c>
      <c r="F91" s="366">
        <f>TRUNC((D91*E91),2)</f>
        <v>1.55</v>
      </c>
    </row>
    <row r="92" spans="1:8">
      <c r="A92" s="434">
        <v>38383</v>
      </c>
      <c r="B92" s="398" t="s">
        <v>165</v>
      </c>
      <c r="C92" s="340" t="s">
        <v>57</v>
      </c>
      <c r="D92" s="436">
        <v>2.4E-2</v>
      </c>
      <c r="E92" s="102">
        <v>2.19</v>
      </c>
      <c r="F92" s="366">
        <f>TRUNC((D92*E92),2)</f>
        <v>0.05</v>
      </c>
    </row>
    <row r="93" spans="1:8" ht="15.75" thickBot="1">
      <c r="A93" s="206"/>
      <c r="B93" s="369"/>
      <c r="C93" s="446"/>
      <c r="D93" s="447"/>
      <c r="E93" s="448" t="s">
        <v>60</v>
      </c>
      <c r="F93" s="405">
        <f>SUM(F89:F92)</f>
        <v>7.42</v>
      </c>
    </row>
    <row r="94" spans="1:8" ht="15.75" thickBot="1">
      <c r="A94" s="104"/>
      <c r="B94" s="2194" t="s">
        <v>55</v>
      </c>
      <c r="C94" s="2194"/>
      <c r="D94" s="2194"/>
      <c r="E94" s="2194"/>
      <c r="F94" s="404">
        <f>F87+F93</f>
        <v>9.93</v>
      </c>
    </row>
    <row r="95" spans="1:8" ht="15.75" thickBot="1"/>
    <row r="96" spans="1:8" ht="38.25">
      <c r="A96" s="419" t="s">
        <v>431</v>
      </c>
      <c r="B96" s="253" t="s">
        <v>264</v>
      </c>
      <c r="C96" s="428" t="s">
        <v>57</v>
      </c>
      <c r="D96" s="160"/>
      <c r="E96" s="161"/>
      <c r="F96" s="240"/>
      <c r="H96" s="426"/>
    </row>
    <row r="97" spans="1:9">
      <c r="A97" s="2164" t="s">
        <v>1371</v>
      </c>
      <c r="B97" s="2165"/>
      <c r="C97" s="2165"/>
      <c r="D97" s="2165"/>
      <c r="E97" s="2165"/>
      <c r="F97" s="2166"/>
    </row>
    <row r="98" spans="1:9" ht="25.5">
      <c r="A98" s="254"/>
      <c r="B98" s="429" t="s">
        <v>58</v>
      </c>
      <c r="C98" s="430" t="s">
        <v>51</v>
      </c>
      <c r="D98" s="431" t="s">
        <v>52</v>
      </c>
      <c r="E98" s="432" t="s">
        <v>64</v>
      </c>
      <c r="F98" s="433" t="s">
        <v>54</v>
      </c>
    </row>
    <row r="99" spans="1:9" ht="25.5">
      <c r="A99" s="434" t="s">
        <v>416</v>
      </c>
      <c r="B99" s="435" t="s">
        <v>102</v>
      </c>
      <c r="C99" s="340" t="s">
        <v>59</v>
      </c>
      <c r="D99" s="364">
        <v>4.4999999999999998E-2</v>
      </c>
      <c r="E99" s="202">
        <v>15.08</v>
      </c>
      <c r="F99" s="366">
        <f>TRUNC((D99*E99),2)</f>
        <v>0.67</v>
      </c>
    </row>
    <row r="100" spans="1:9" ht="25.5">
      <c r="A100" s="434" t="s">
        <v>417</v>
      </c>
      <c r="B100" s="435" t="s">
        <v>103</v>
      </c>
      <c r="C100" s="340" t="s">
        <v>59</v>
      </c>
      <c r="D100" s="364">
        <v>4.4999999999999998E-2</v>
      </c>
      <c r="E100" s="202">
        <v>19.920000000000002</v>
      </c>
      <c r="F100" s="366">
        <f>TRUNC((D100*E100),2)</f>
        <v>0.89</v>
      </c>
    </row>
    <row r="101" spans="1:9">
      <c r="A101" s="187"/>
      <c r="B101" s="186"/>
      <c r="C101" s="340" t="s">
        <v>43</v>
      </c>
      <c r="D101" s="437" t="s">
        <v>43</v>
      </c>
      <c r="E101" s="438" t="s">
        <v>60</v>
      </c>
      <c r="F101" s="439">
        <f>SUM(F99:F100)</f>
        <v>1.56</v>
      </c>
    </row>
    <row r="102" spans="1:9" ht="25.5">
      <c r="A102" s="187"/>
      <c r="B102" s="440" t="s">
        <v>95</v>
      </c>
      <c r="C102" s="370" t="s">
        <v>51</v>
      </c>
      <c r="D102" s="441" t="s">
        <v>52</v>
      </c>
      <c r="E102" s="442" t="s">
        <v>64</v>
      </c>
      <c r="F102" s="439" t="s">
        <v>54</v>
      </c>
      <c r="H102" s="453"/>
      <c r="I102" s="453"/>
    </row>
    <row r="103" spans="1:9" ht="25.5">
      <c r="A103" s="434">
        <v>20085</v>
      </c>
      <c r="B103" s="204" t="s">
        <v>1370</v>
      </c>
      <c r="C103" s="340" t="s">
        <v>57</v>
      </c>
      <c r="D103" s="436">
        <v>1</v>
      </c>
      <c r="E103" s="223">
        <v>2.65</v>
      </c>
      <c r="F103" s="366">
        <f>TRUNC((D103*E103),2)</f>
        <v>2.65</v>
      </c>
      <c r="H103" s="451"/>
      <c r="I103" s="911"/>
    </row>
    <row r="104" spans="1:9" ht="38.25">
      <c r="A104" s="434">
        <v>20078</v>
      </c>
      <c r="B104" s="204" t="s">
        <v>1369</v>
      </c>
      <c r="C104" s="340" t="s">
        <v>57</v>
      </c>
      <c r="D104" s="364">
        <v>0.02</v>
      </c>
      <c r="E104" s="223">
        <v>29.73</v>
      </c>
      <c r="F104" s="366">
        <f>TRUNC((D104*E104),2)</f>
        <v>0.59</v>
      </c>
      <c r="H104" s="451"/>
      <c r="I104" s="911"/>
    </row>
    <row r="105" spans="1:9" ht="24.75" customHeight="1">
      <c r="A105" s="434">
        <v>813</v>
      </c>
      <c r="B105" s="204" t="s">
        <v>1372</v>
      </c>
      <c r="C105" s="340" t="s">
        <v>57</v>
      </c>
      <c r="D105" s="436">
        <v>1</v>
      </c>
      <c r="E105" s="102">
        <v>4.12</v>
      </c>
      <c r="F105" s="366">
        <f>TRUNC((D105*E105),2)</f>
        <v>4.12</v>
      </c>
      <c r="H105" s="451"/>
      <c r="I105" s="911"/>
    </row>
    <row r="106" spans="1:9" ht="15.75" thickBot="1">
      <c r="A106" s="206"/>
      <c r="B106" s="369"/>
      <c r="C106" s="446"/>
      <c r="D106" s="447"/>
      <c r="E106" s="448" t="s">
        <v>60</v>
      </c>
      <c r="F106" s="405">
        <f>SUM(F103:F105)</f>
        <v>7.3599999999999994</v>
      </c>
      <c r="H106" s="451"/>
      <c r="I106" s="911"/>
    </row>
    <row r="107" spans="1:9" ht="15.75" thickBot="1">
      <c r="A107" s="189"/>
      <c r="B107" s="2195" t="s">
        <v>55</v>
      </c>
      <c r="C107" s="2195"/>
      <c r="D107" s="2195"/>
      <c r="E107" s="2195"/>
      <c r="F107" s="533">
        <f>F101+F106</f>
        <v>8.92</v>
      </c>
      <c r="H107" s="451"/>
      <c r="I107" s="911"/>
    </row>
    <row r="108" spans="1:9" ht="15.75" thickBot="1"/>
    <row r="109" spans="1:9" ht="25.5">
      <c r="A109" s="419" t="s">
        <v>433</v>
      </c>
      <c r="B109" s="253" t="s">
        <v>267</v>
      </c>
      <c r="C109" s="428" t="s">
        <v>57</v>
      </c>
      <c r="D109" s="160"/>
      <c r="E109" s="161"/>
      <c r="F109" s="240"/>
      <c r="G109" s="426"/>
      <c r="H109" s="426"/>
    </row>
    <row r="110" spans="1:9">
      <c r="A110" s="2164" t="s">
        <v>1376</v>
      </c>
      <c r="B110" s="2165"/>
      <c r="C110" s="2165"/>
      <c r="D110" s="2165"/>
      <c r="E110" s="2165"/>
      <c r="F110" s="2166"/>
    </row>
    <row r="111" spans="1:9" ht="25.5">
      <c r="A111" s="254"/>
      <c r="B111" s="429" t="s">
        <v>58</v>
      </c>
      <c r="C111" s="430" t="s">
        <v>51</v>
      </c>
      <c r="D111" s="431" t="s">
        <v>52</v>
      </c>
      <c r="E111" s="432" t="s">
        <v>64</v>
      </c>
      <c r="F111" s="433" t="s">
        <v>54</v>
      </c>
    </row>
    <row r="112" spans="1:9" ht="25.5">
      <c r="A112" s="434" t="s">
        <v>416</v>
      </c>
      <c r="B112" s="435" t="s">
        <v>102</v>
      </c>
      <c r="C112" s="340" t="s">
        <v>59</v>
      </c>
      <c r="D112" s="436">
        <v>0.20899999999999999</v>
      </c>
      <c r="E112" s="202">
        <v>15.08</v>
      </c>
      <c r="F112" s="366">
        <f>TRUNC((D112*E112),2)</f>
        <v>3.15</v>
      </c>
    </row>
    <row r="113" spans="1:11" ht="25.5">
      <c r="A113" s="434" t="s">
        <v>417</v>
      </c>
      <c r="B113" s="435" t="s">
        <v>103</v>
      </c>
      <c r="C113" s="340" t="s">
        <v>59</v>
      </c>
      <c r="D113" s="436">
        <v>0.20899999999999999</v>
      </c>
      <c r="E113" s="202">
        <v>19.920000000000002</v>
      </c>
      <c r="F113" s="366">
        <f>TRUNC((D113*E113),2)</f>
        <v>4.16</v>
      </c>
    </row>
    <row r="114" spans="1:11">
      <c r="A114" s="187"/>
      <c r="B114" s="186"/>
      <c r="C114" s="340" t="s">
        <v>43</v>
      </c>
      <c r="D114" s="437" t="s">
        <v>43</v>
      </c>
      <c r="E114" s="438" t="s">
        <v>60</v>
      </c>
      <c r="F114" s="439">
        <f>SUM(F112:F113)</f>
        <v>7.3100000000000005</v>
      </c>
    </row>
    <row r="115" spans="1:11" ht="25.5">
      <c r="A115" s="187"/>
      <c r="B115" s="440" t="s">
        <v>95</v>
      </c>
      <c r="C115" s="370" t="s">
        <v>51</v>
      </c>
      <c r="D115" s="441" t="s">
        <v>52</v>
      </c>
      <c r="E115" s="442" t="s">
        <v>64</v>
      </c>
      <c r="F115" s="439" t="s">
        <v>54</v>
      </c>
      <c r="H115" s="453"/>
    </row>
    <row r="116" spans="1:11">
      <c r="A116" s="434">
        <v>122</v>
      </c>
      <c r="B116" s="398" t="s">
        <v>122</v>
      </c>
      <c r="C116" s="340" t="s">
        <v>57</v>
      </c>
      <c r="D116" s="436">
        <v>0.06</v>
      </c>
      <c r="E116" s="223">
        <v>81.209999999999994</v>
      </c>
      <c r="F116" s="366">
        <f>TRUNC((D116*E116),2)</f>
        <v>4.87</v>
      </c>
      <c r="H116" s="453"/>
    </row>
    <row r="117" spans="1:11" ht="25.5">
      <c r="A117" s="434">
        <v>7129</v>
      </c>
      <c r="B117" s="398" t="s">
        <v>440</v>
      </c>
      <c r="C117" s="340" t="s">
        <v>57</v>
      </c>
      <c r="D117" s="436">
        <v>1</v>
      </c>
      <c r="E117" s="223">
        <v>8.83</v>
      </c>
      <c r="F117" s="366">
        <f>TRUNC((D117*E117),2)</f>
        <v>8.83</v>
      </c>
      <c r="H117" s="453"/>
    </row>
    <row r="118" spans="1:11">
      <c r="A118" s="434">
        <v>20083</v>
      </c>
      <c r="B118" s="398" t="s">
        <v>123</v>
      </c>
      <c r="C118" s="340" t="s">
        <v>57</v>
      </c>
      <c r="D118" s="436">
        <v>7.8E-2</v>
      </c>
      <c r="E118" s="223">
        <v>70.52</v>
      </c>
      <c r="F118" s="366">
        <f>TRUNC((D118*E118),2)</f>
        <v>5.5</v>
      </c>
      <c r="H118" s="453"/>
    </row>
    <row r="119" spans="1:11">
      <c r="A119" s="434">
        <v>38383</v>
      </c>
      <c r="B119" s="398" t="s">
        <v>165</v>
      </c>
      <c r="C119" s="340" t="s">
        <v>57</v>
      </c>
      <c r="D119" s="436">
        <v>5.2999999999999999E-2</v>
      </c>
      <c r="E119" s="102">
        <v>2.19</v>
      </c>
      <c r="F119" s="366">
        <f>TRUNC((D119*E119),2)</f>
        <v>0.11</v>
      </c>
      <c r="H119" s="453"/>
    </row>
    <row r="120" spans="1:11" ht="15.75" thickBot="1">
      <c r="A120" s="206"/>
      <c r="B120" s="369"/>
      <c r="C120" s="446"/>
      <c r="D120" s="447"/>
      <c r="E120" s="448" t="s">
        <v>60</v>
      </c>
      <c r="F120" s="405">
        <f>SUM(F116:F119)</f>
        <v>19.309999999999999</v>
      </c>
      <c r="H120" s="453"/>
    </row>
    <row r="121" spans="1:11" ht="15.75" thickBot="1">
      <c r="A121" s="104"/>
      <c r="B121" s="2194" t="s">
        <v>55</v>
      </c>
      <c r="C121" s="2194"/>
      <c r="D121" s="2194"/>
      <c r="E121" s="2194"/>
      <c r="F121" s="404">
        <f>F114+F120</f>
        <v>26.619999999999997</v>
      </c>
      <c r="H121" s="453"/>
    </row>
    <row r="122" spans="1:11" ht="15.75" thickBot="1">
      <c r="I122" s="373"/>
      <c r="J122" s="373"/>
      <c r="K122" s="373"/>
    </row>
    <row r="123" spans="1:11" ht="26.25" customHeight="1">
      <c r="A123" s="419" t="s">
        <v>434</v>
      </c>
      <c r="B123" s="253" t="s">
        <v>451</v>
      </c>
      <c r="C123" s="428" t="s">
        <v>57</v>
      </c>
      <c r="D123" s="160"/>
      <c r="E123" s="161"/>
      <c r="F123" s="240"/>
      <c r="H123" s="426"/>
      <c r="I123" s="906"/>
      <c r="J123" s="906"/>
      <c r="K123" s="906"/>
    </row>
    <row r="124" spans="1:11" ht="15" customHeight="1">
      <c r="A124" s="2164" t="s">
        <v>427</v>
      </c>
      <c r="B124" s="2165"/>
      <c r="C124" s="2165"/>
      <c r="D124" s="2165"/>
      <c r="E124" s="2165"/>
      <c r="F124" s="2166"/>
      <c r="I124" s="906"/>
      <c r="J124" s="906"/>
      <c r="K124" s="906"/>
    </row>
    <row r="125" spans="1:11" ht="25.5">
      <c r="A125" s="254"/>
      <c r="B125" s="429" t="s">
        <v>58</v>
      </c>
      <c r="C125" s="430" t="s">
        <v>51</v>
      </c>
      <c r="D125" s="431" t="s">
        <v>52</v>
      </c>
      <c r="E125" s="432" t="s">
        <v>64</v>
      </c>
      <c r="F125" s="433" t="s">
        <v>54</v>
      </c>
      <c r="I125" s="906"/>
      <c r="J125" s="906"/>
      <c r="K125" s="906"/>
    </row>
    <row r="126" spans="1:11" ht="25.5">
      <c r="A126" s="434" t="s">
        <v>416</v>
      </c>
      <c r="B126" s="435" t="s">
        <v>102</v>
      </c>
      <c r="C126" s="340" t="s">
        <v>59</v>
      </c>
      <c r="D126" s="458">
        <v>0.20899999999999999</v>
      </c>
      <c r="E126" s="202">
        <v>15.08</v>
      </c>
      <c r="F126" s="366">
        <f>TRUNC((D126*E126),2)</f>
        <v>3.15</v>
      </c>
      <c r="I126" s="373"/>
      <c r="J126" s="373"/>
      <c r="K126" s="373"/>
    </row>
    <row r="127" spans="1:11" ht="25.5">
      <c r="A127" s="434" t="s">
        <v>417</v>
      </c>
      <c r="B127" s="435" t="s">
        <v>103</v>
      </c>
      <c r="C127" s="340" t="s">
        <v>59</v>
      </c>
      <c r="D127" s="458">
        <v>0.20899999999999999</v>
      </c>
      <c r="E127" s="202">
        <v>19.920000000000002</v>
      </c>
      <c r="F127" s="366">
        <f>TRUNC((D127*E127),2)</f>
        <v>4.16</v>
      </c>
    </row>
    <row r="128" spans="1:11">
      <c r="A128" s="187"/>
      <c r="B128" s="186"/>
      <c r="C128" s="340" t="s">
        <v>43</v>
      </c>
      <c r="D128" s="437" t="s">
        <v>43</v>
      </c>
      <c r="E128" s="438" t="s">
        <v>60</v>
      </c>
      <c r="F128" s="439">
        <f>SUM(F126:F127)</f>
        <v>7.3100000000000005</v>
      </c>
      <c r="H128" s="911"/>
      <c r="I128" s="451"/>
      <c r="J128" s="451"/>
    </row>
    <row r="129" spans="1:10" ht="25.5">
      <c r="A129" s="187"/>
      <c r="B129" s="440" t="s">
        <v>95</v>
      </c>
      <c r="C129" s="370" t="s">
        <v>51</v>
      </c>
      <c r="D129" s="441" t="s">
        <v>52</v>
      </c>
      <c r="E129" s="442" t="s">
        <v>64</v>
      </c>
      <c r="F129" s="439" t="s">
        <v>54</v>
      </c>
      <c r="H129" s="911"/>
      <c r="I129" s="451"/>
      <c r="J129" s="451"/>
    </row>
    <row r="130" spans="1:10" ht="25.5">
      <c r="A130" s="434">
        <v>7142</v>
      </c>
      <c r="B130" s="398" t="s">
        <v>452</v>
      </c>
      <c r="C130" s="340" t="s">
        <v>57</v>
      </c>
      <c r="D130" s="436">
        <v>1</v>
      </c>
      <c r="E130" s="223">
        <v>9.98</v>
      </c>
      <c r="F130" s="366">
        <f>TRUNC((D130*E130),2)</f>
        <v>9.98</v>
      </c>
      <c r="H130" s="911"/>
      <c r="I130" s="451"/>
      <c r="J130" s="451"/>
    </row>
    <row r="131" spans="1:10">
      <c r="A131" s="434">
        <v>122</v>
      </c>
      <c r="B131" s="398" t="s">
        <v>122</v>
      </c>
      <c r="C131" s="340" t="s">
        <v>57</v>
      </c>
      <c r="D131" s="364">
        <v>0.06</v>
      </c>
      <c r="E131" s="223">
        <v>81.209999999999994</v>
      </c>
      <c r="F131" s="366">
        <f>TRUNC((D131*E131),2)</f>
        <v>4.87</v>
      </c>
      <c r="H131" s="911"/>
      <c r="I131" s="451"/>
      <c r="J131" s="451"/>
    </row>
    <row r="132" spans="1:10">
      <c r="A132" s="434">
        <v>20083</v>
      </c>
      <c r="B132" s="398" t="s">
        <v>123</v>
      </c>
      <c r="C132" s="340" t="s">
        <v>57</v>
      </c>
      <c r="D132" s="364">
        <v>7.8E-2</v>
      </c>
      <c r="E132" s="223">
        <v>70.52</v>
      </c>
      <c r="F132" s="366">
        <f>TRUNC((D132*E132),2)</f>
        <v>5.5</v>
      </c>
      <c r="H132" s="911"/>
      <c r="I132" s="451"/>
      <c r="J132" s="451"/>
    </row>
    <row r="133" spans="1:10">
      <c r="A133" s="434">
        <v>38383</v>
      </c>
      <c r="B133" s="398" t="s">
        <v>165</v>
      </c>
      <c r="C133" s="340" t="s">
        <v>57</v>
      </c>
      <c r="D133" s="364">
        <v>5.2999999999999999E-2</v>
      </c>
      <c r="E133" s="102">
        <v>2.19</v>
      </c>
      <c r="F133" s="366">
        <f>TRUNC((D133*E133),2)</f>
        <v>0.11</v>
      </c>
      <c r="H133" s="911"/>
      <c r="I133" s="451"/>
      <c r="J133" s="451"/>
    </row>
    <row r="134" spans="1:10" ht="15.75" thickBot="1">
      <c r="A134" s="206"/>
      <c r="B134" s="369"/>
      <c r="C134" s="446"/>
      <c r="D134" s="447"/>
      <c r="E134" s="448" t="s">
        <v>60</v>
      </c>
      <c r="F134" s="405">
        <f>SUM(F130:F133)</f>
        <v>20.46</v>
      </c>
    </row>
    <row r="135" spans="1:10" ht="15.75" thickBot="1">
      <c r="A135" s="104"/>
      <c r="B135" s="2194" t="s">
        <v>55</v>
      </c>
      <c r="C135" s="2194"/>
      <c r="D135" s="2194"/>
      <c r="E135" s="2194"/>
      <c r="F135" s="404">
        <f>F128+F134</f>
        <v>27.770000000000003</v>
      </c>
    </row>
    <row r="136" spans="1:10" ht="15.75" thickBot="1"/>
    <row r="137" spans="1:10" ht="41.25" customHeight="1">
      <c r="A137" s="419" t="s">
        <v>437</v>
      </c>
      <c r="B137" s="253" t="s">
        <v>1375</v>
      </c>
      <c r="C137" s="428" t="s">
        <v>57</v>
      </c>
      <c r="D137" s="160"/>
      <c r="E137" s="161"/>
      <c r="F137" s="240"/>
      <c r="G137" s="426"/>
      <c r="H137" s="426"/>
    </row>
    <row r="138" spans="1:10">
      <c r="A138" s="2164" t="s">
        <v>1374</v>
      </c>
      <c r="B138" s="2165"/>
      <c r="C138" s="2165"/>
      <c r="D138" s="2165"/>
      <c r="E138" s="2165"/>
      <c r="F138" s="2166"/>
    </row>
    <row r="139" spans="1:10" ht="25.5">
      <c r="A139" s="254"/>
      <c r="B139" s="429" t="s">
        <v>58</v>
      </c>
      <c r="C139" s="430" t="s">
        <v>51</v>
      </c>
      <c r="D139" s="431" t="s">
        <v>52</v>
      </c>
      <c r="E139" s="432" t="s">
        <v>64</v>
      </c>
      <c r="F139" s="433" t="s">
        <v>54</v>
      </c>
    </row>
    <row r="140" spans="1:10" ht="25.5">
      <c r="A140" s="434" t="s">
        <v>416</v>
      </c>
      <c r="B140" s="435" t="s">
        <v>102</v>
      </c>
      <c r="C140" s="340" t="s">
        <v>59</v>
      </c>
      <c r="D140" s="436">
        <v>0.5</v>
      </c>
      <c r="E140" s="202">
        <v>15.08</v>
      </c>
      <c r="F140" s="366">
        <f>TRUNC((D140*E140),2)</f>
        <v>7.54</v>
      </c>
    </row>
    <row r="141" spans="1:10" ht="25.5">
      <c r="A141" s="434" t="s">
        <v>417</v>
      </c>
      <c r="B141" s="435" t="s">
        <v>103</v>
      </c>
      <c r="C141" s="340" t="s">
        <v>59</v>
      </c>
      <c r="D141" s="436">
        <v>0.5</v>
      </c>
      <c r="E141" s="202">
        <v>19.920000000000002</v>
      </c>
      <c r="F141" s="366">
        <f>TRUNC((D141*E141),2)</f>
        <v>9.9600000000000009</v>
      </c>
    </row>
    <row r="142" spans="1:10">
      <c r="A142" s="388">
        <v>88309</v>
      </c>
      <c r="B142" s="535" t="s">
        <v>104</v>
      </c>
      <c r="C142" s="340" t="s">
        <v>59</v>
      </c>
      <c r="D142" s="436">
        <v>1</v>
      </c>
      <c r="E142" s="223">
        <v>19.86</v>
      </c>
      <c r="F142" s="366">
        <f t="shared" ref="F142:F143" si="0">TRUNC((D142*E142),2)</f>
        <v>19.86</v>
      </c>
    </row>
    <row r="143" spans="1:10">
      <c r="A143" s="389">
        <v>88316</v>
      </c>
      <c r="B143" s="787" t="s">
        <v>68</v>
      </c>
      <c r="C143" s="340" t="s">
        <v>59</v>
      </c>
      <c r="D143" s="436">
        <v>1</v>
      </c>
      <c r="E143" s="223">
        <v>15.65</v>
      </c>
      <c r="F143" s="366">
        <f t="shared" si="0"/>
        <v>15.65</v>
      </c>
    </row>
    <row r="144" spans="1:10">
      <c r="A144" s="187"/>
      <c r="B144" s="186"/>
      <c r="C144" s="340" t="s">
        <v>43</v>
      </c>
      <c r="D144" s="437" t="s">
        <v>43</v>
      </c>
      <c r="E144" s="438" t="s">
        <v>60</v>
      </c>
      <c r="F144" s="439">
        <f>SUM(F140:F143)</f>
        <v>53.01</v>
      </c>
      <c r="H144" s="453"/>
    </row>
    <row r="145" spans="1:8" ht="25.5">
      <c r="A145" s="187"/>
      <c r="B145" s="440" t="s">
        <v>95</v>
      </c>
      <c r="C145" s="370" t="s">
        <v>51</v>
      </c>
      <c r="D145" s="441" t="s">
        <v>52</v>
      </c>
      <c r="E145" s="442" t="s">
        <v>64</v>
      </c>
      <c r="F145" s="439" t="s">
        <v>54</v>
      </c>
      <c r="H145" s="453"/>
    </row>
    <row r="146" spans="1:8" ht="38.25">
      <c r="A146" s="434">
        <v>11694</v>
      </c>
      <c r="B146" s="204" t="s">
        <v>1373</v>
      </c>
      <c r="C146" s="340" t="s">
        <v>57</v>
      </c>
      <c r="D146" s="436">
        <v>1</v>
      </c>
      <c r="E146" s="223">
        <v>883.98</v>
      </c>
      <c r="F146" s="366">
        <f>TRUNC((D146*E146),2)</f>
        <v>883.98</v>
      </c>
      <c r="H146" s="453"/>
    </row>
    <row r="147" spans="1:8" ht="15.75" thickBot="1">
      <c r="A147" s="206"/>
      <c r="B147" s="369"/>
      <c r="C147" s="446"/>
      <c r="D147" s="447"/>
      <c r="E147" s="448" t="s">
        <v>60</v>
      </c>
      <c r="F147" s="405">
        <f>SUM(F146:F146)</f>
        <v>883.98</v>
      </c>
      <c r="H147" s="453"/>
    </row>
    <row r="148" spans="1:8" ht="15.75" thickBot="1">
      <c r="A148" s="104"/>
      <c r="B148" s="2194" t="s">
        <v>55</v>
      </c>
      <c r="C148" s="2194"/>
      <c r="D148" s="2194"/>
      <c r="E148" s="2194"/>
      <c r="F148" s="404">
        <f>F144+F147</f>
        <v>936.99</v>
      </c>
    </row>
    <row r="149" spans="1:8" ht="15.75" thickBot="1"/>
    <row r="150" spans="1:8" ht="28.5" customHeight="1">
      <c r="A150" s="419" t="s">
        <v>438</v>
      </c>
      <c r="B150" s="253" t="s">
        <v>1397</v>
      </c>
      <c r="C150" s="428" t="s">
        <v>57</v>
      </c>
      <c r="D150" s="160"/>
      <c r="E150" s="161"/>
      <c r="F150" s="240"/>
      <c r="G150" s="426"/>
      <c r="H150" s="426"/>
    </row>
    <row r="151" spans="1:8">
      <c r="A151" s="2164" t="s">
        <v>1398</v>
      </c>
      <c r="B151" s="2165"/>
      <c r="C151" s="2165"/>
      <c r="D151" s="2165"/>
      <c r="E151" s="2165"/>
      <c r="F151" s="2166"/>
    </row>
    <row r="152" spans="1:8" ht="25.5">
      <c r="A152" s="254"/>
      <c r="B152" s="429" t="s">
        <v>58</v>
      </c>
      <c r="C152" s="430" t="s">
        <v>51</v>
      </c>
      <c r="D152" s="431" t="s">
        <v>52</v>
      </c>
      <c r="E152" s="432" t="s">
        <v>64</v>
      </c>
      <c r="F152" s="433" t="s">
        <v>54</v>
      </c>
    </row>
    <row r="153" spans="1:8" ht="25.5">
      <c r="A153" s="421" t="s">
        <v>416</v>
      </c>
      <c r="B153" s="435" t="s">
        <v>102</v>
      </c>
      <c r="C153" s="340" t="s">
        <v>59</v>
      </c>
      <c r="D153" s="436">
        <v>0.4</v>
      </c>
      <c r="E153" s="202">
        <v>15.08</v>
      </c>
      <c r="F153" s="1619">
        <f>TRUNC((D153*E153),2)</f>
        <v>6.03</v>
      </c>
    </row>
    <row r="154" spans="1:8" ht="25.5">
      <c r="A154" s="421" t="s">
        <v>417</v>
      </c>
      <c r="B154" s="435" t="s">
        <v>103</v>
      </c>
      <c r="C154" s="340" t="s">
        <v>59</v>
      </c>
      <c r="D154" s="436">
        <v>0.4</v>
      </c>
      <c r="E154" s="202">
        <v>19.920000000000002</v>
      </c>
      <c r="F154" s="1619">
        <f>TRUNC((D154*E154),2)</f>
        <v>7.96</v>
      </c>
    </row>
    <row r="155" spans="1:8">
      <c r="A155" s="1621"/>
      <c r="B155" s="1025"/>
      <c r="C155" s="340" t="s">
        <v>43</v>
      </c>
      <c r="D155" s="437" t="s">
        <v>43</v>
      </c>
      <c r="E155" s="438" t="s">
        <v>60</v>
      </c>
      <c r="F155" s="1622">
        <f>SUM(F153:F154)</f>
        <v>13.99</v>
      </c>
    </row>
    <row r="156" spans="1:8" ht="25.5">
      <c r="A156" s="1621"/>
      <c r="B156" s="1623" t="s">
        <v>95</v>
      </c>
      <c r="C156" s="370" t="s">
        <v>51</v>
      </c>
      <c r="D156" s="441" t="s">
        <v>52</v>
      </c>
      <c r="E156" s="442" t="s">
        <v>64</v>
      </c>
      <c r="F156" s="1622" t="s">
        <v>54</v>
      </c>
    </row>
    <row r="157" spans="1:8" ht="30.75" customHeight="1" thickBot="1">
      <c r="A157" s="1672">
        <v>6142</v>
      </c>
      <c r="B157" s="1577" t="s">
        <v>1399</v>
      </c>
      <c r="C157" s="1673" t="s">
        <v>57</v>
      </c>
      <c r="D157" s="1674">
        <v>1</v>
      </c>
      <c r="E157" s="1675">
        <v>7.56</v>
      </c>
      <c r="F157" s="1676">
        <f>TRUNC((D157*E157),2)</f>
        <v>7.56</v>
      </c>
    </row>
    <row r="158" spans="1:8" ht="15.75" thickBot="1">
      <c r="A158" s="1677"/>
      <c r="B158" s="1678"/>
      <c r="C158" s="1665"/>
      <c r="D158" s="1679"/>
      <c r="E158" s="1680" t="s">
        <v>60</v>
      </c>
      <c r="F158" s="1681">
        <f>SUM(F157:F157)</f>
        <v>7.56</v>
      </c>
    </row>
    <row r="159" spans="1:8" ht="15.75" thickBot="1">
      <c r="A159" s="104"/>
      <c r="B159" s="2100" t="s">
        <v>55</v>
      </c>
      <c r="C159" s="2100"/>
      <c r="D159" s="2100"/>
      <c r="E159" s="2100"/>
      <c r="F159" s="1624">
        <f>F155+F158</f>
        <v>21.55</v>
      </c>
    </row>
    <row r="160" spans="1:8" ht="15.75" thickBot="1"/>
    <row r="161" spans="1:8" ht="18.75" customHeight="1">
      <c r="A161" s="419" t="s">
        <v>439</v>
      </c>
      <c r="B161" s="518" t="s">
        <v>1394</v>
      </c>
      <c r="C161" s="428" t="s">
        <v>57</v>
      </c>
      <c r="D161" s="160"/>
      <c r="E161" s="161"/>
      <c r="F161" s="240"/>
      <c r="G161" s="426"/>
      <c r="H161" s="426"/>
    </row>
    <row r="162" spans="1:8">
      <c r="A162" s="2164" t="s">
        <v>1396</v>
      </c>
      <c r="B162" s="2165"/>
      <c r="C162" s="2165"/>
      <c r="D162" s="2165"/>
      <c r="E162" s="2165"/>
      <c r="F162" s="2166"/>
    </row>
    <row r="163" spans="1:8" ht="25.5">
      <c r="A163" s="254"/>
      <c r="B163" s="429" t="s">
        <v>58</v>
      </c>
      <c r="C163" s="430" t="s">
        <v>51</v>
      </c>
      <c r="D163" s="431" t="s">
        <v>52</v>
      </c>
      <c r="E163" s="432" t="s">
        <v>64</v>
      </c>
      <c r="F163" s="433" t="s">
        <v>54</v>
      </c>
    </row>
    <row r="164" spans="1:8" ht="25.5">
      <c r="A164" s="421" t="s">
        <v>416</v>
      </c>
      <c r="B164" s="435" t="s">
        <v>102</v>
      </c>
      <c r="C164" s="340" t="s">
        <v>59</v>
      </c>
      <c r="D164" s="436">
        <v>0.5</v>
      </c>
      <c r="E164" s="202">
        <v>15.08</v>
      </c>
      <c r="F164" s="366">
        <f>TRUNC((D164*E164),2)</f>
        <v>7.54</v>
      </c>
    </row>
    <row r="165" spans="1:8" ht="25.5">
      <c r="A165" s="421" t="s">
        <v>417</v>
      </c>
      <c r="B165" s="435" t="s">
        <v>103</v>
      </c>
      <c r="C165" s="340" t="s">
        <v>59</v>
      </c>
      <c r="D165" s="436">
        <v>0.5</v>
      </c>
      <c r="E165" s="202">
        <v>19.920000000000002</v>
      </c>
      <c r="F165" s="366">
        <f>TRUNC((D165*E165),2)</f>
        <v>9.9600000000000009</v>
      </c>
    </row>
    <row r="166" spans="1:8">
      <c r="A166" s="187"/>
      <c r="B166" s="186"/>
      <c r="C166" s="340" t="s">
        <v>43</v>
      </c>
      <c r="D166" s="437" t="s">
        <v>43</v>
      </c>
      <c r="E166" s="438" t="s">
        <v>60</v>
      </c>
      <c r="F166" s="439">
        <f>SUM(F164:F165)</f>
        <v>17.5</v>
      </c>
    </row>
    <row r="167" spans="1:8" ht="25.5">
      <c r="A167" s="187"/>
      <c r="B167" s="440" t="s">
        <v>95</v>
      </c>
      <c r="C167" s="370" t="s">
        <v>51</v>
      </c>
      <c r="D167" s="441" t="s">
        <v>52</v>
      </c>
      <c r="E167" s="442" t="s">
        <v>64</v>
      </c>
      <c r="F167" s="439" t="s">
        <v>54</v>
      </c>
      <c r="H167" s="453"/>
    </row>
    <row r="168" spans="1:8">
      <c r="A168" s="421">
        <v>1370</v>
      </c>
      <c r="B168" s="204" t="s">
        <v>1394</v>
      </c>
      <c r="C168" s="340" t="s">
        <v>57</v>
      </c>
      <c r="D168" s="436">
        <v>1</v>
      </c>
      <c r="E168" s="223">
        <v>93.62</v>
      </c>
      <c r="F168" s="366">
        <f>TRUNC((D168*E168),2)</f>
        <v>93.62</v>
      </c>
      <c r="H168" s="453"/>
    </row>
    <row r="169" spans="1:8">
      <c r="A169" s="421">
        <v>37459</v>
      </c>
      <c r="B169" s="915" t="s">
        <v>1395</v>
      </c>
      <c r="C169" s="340" t="s">
        <v>56</v>
      </c>
      <c r="D169" s="454">
        <v>0.28000000000000003</v>
      </c>
      <c r="E169" s="223">
        <v>7.02</v>
      </c>
      <c r="F169" s="366">
        <f>TRUNC((D169*E169),2)</f>
        <v>1.96</v>
      </c>
      <c r="H169" s="453"/>
    </row>
    <row r="170" spans="1:8" ht="15.75" thickBot="1">
      <c r="A170" s="206"/>
      <c r="B170" s="369"/>
      <c r="C170" s="446"/>
      <c r="D170" s="447"/>
      <c r="E170" s="448"/>
      <c r="F170" s="405">
        <f>SUM(F168:F169)</f>
        <v>95.58</v>
      </c>
      <c r="H170" s="453"/>
    </row>
    <row r="171" spans="1:8" ht="15.75" thickBot="1">
      <c r="A171" s="104"/>
      <c r="B171" s="2194" t="s">
        <v>55</v>
      </c>
      <c r="C171" s="2194"/>
      <c r="D171" s="2194"/>
      <c r="E171" s="2194"/>
      <c r="F171" s="404">
        <f>F166+F170</f>
        <v>113.08</v>
      </c>
    </row>
    <row r="172" spans="1:8" ht="15.75" thickBot="1"/>
    <row r="173" spans="1:8" ht="38.25">
      <c r="A173" s="419" t="s">
        <v>441</v>
      </c>
      <c r="B173" s="253" t="s">
        <v>275</v>
      </c>
      <c r="C173" s="428" t="s">
        <v>57</v>
      </c>
      <c r="D173" s="160"/>
      <c r="E173" s="161"/>
      <c r="F173" s="240"/>
      <c r="G173" s="426"/>
      <c r="H173" s="426" t="s">
        <v>1368</v>
      </c>
    </row>
    <row r="174" spans="1:8" ht="15" customHeight="1">
      <c r="A174" s="2164" t="s">
        <v>1522</v>
      </c>
      <c r="B174" s="2165"/>
      <c r="C174" s="2165"/>
      <c r="D174" s="2165"/>
      <c r="E174" s="2165"/>
      <c r="F174" s="2166"/>
    </row>
    <row r="175" spans="1:8" ht="25.5">
      <c r="A175" s="254"/>
      <c r="B175" s="429" t="s">
        <v>58</v>
      </c>
      <c r="C175" s="430" t="s">
        <v>51</v>
      </c>
      <c r="D175" s="431" t="s">
        <v>52</v>
      </c>
      <c r="E175" s="432" t="s">
        <v>64</v>
      </c>
      <c r="F175" s="433" t="s">
        <v>54</v>
      </c>
    </row>
    <row r="176" spans="1:8" ht="25.5">
      <c r="A176" s="421" t="s">
        <v>416</v>
      </c>
      <c r="B176" s="435" t="s">
        <v>102</v>
      </c>
      <c r="C176" s="340" t="s">
        <v>59</v>
      </c>
      <c r="D176" s="436">
        <v>0.25</v>
      </c>
      <c r="E176" s="202">
        <v>15.08</v>
      </c>
      <c r="F176" s="366">
        <f>TRUNC((D176*E176),2)</f>
        <v>3.77</v>
      </c>
    </row>
    <row r="177" spans="1:8" ht="25.5">
      <c r="A177" s="421" t="s">
        <v>417</v>
      </c>
      <c r="B177" s="435" t="s">
        <v>103</v>
      </c>
      <c r="C177" s="340" t="s">
        <v>59</v>
      </c>
      <c r="D177" s="436">
        <v>0.25</v>
      </c>
      <c r="E177" s="202">
        <v>19.920000000000002</v>
      </c>
      <c r="F177" s="366">
        <f>TRUNC((D177*E177),2)</f>
        <v>4.9800000000000004</v>
      </c>
    </row>
    <row r="178" spans="1:8">
      <c r="A178" s="187"/>
      <c r="B178" s="186"/>
      <c r="C178" s="340" t="s">
        <v>43</v>
      </c>
      <c r="D178" s="437" t="s">
        <v>43</v>
      </c>
      <c r="E178" s="438" t="s">
        <v>60</v>
      </c>
      <c r="F178" s="439">
        <f>SUM(F176:F177)</f>
        <v>8.75</v>
      </c>
    </row>
    <row r="179" spans="1:8" ht="25.5">
      <c r="A179" s="187"/>
      <c r="B179" s="440" t="s">
        <v>95</v>
      </c>
      <c r="C179" s="370" t="s">
        <v>51</v>
      </c>
      <c r="D179" s="441" t="s">
        <v>52</v>
      </c>
      <c r="E179" s="442" t="s">
        <v>64</v>
      </c>
      <c r="F179" s="439" t="s">
        <v>54</v>
      </c>
      <c r="H179" s="453"/>
    </row>
    <row r="180" spans="1:8">
      <c r="A180" s="421">
        <v>122</v>
      </c>
      <c r="B180" s="398" t="s">
        <v>122</v>
      </c>
      <c r="C180" s="340" t="s">
        <v>57</v>
      </c>
      <c r="D180" s="454">
        <v>1.4800000000000001E-2</v>
      </c>
      <c r="E180" s="223">
        <v>81.209999999999994</v>
      </c>
      <c r="F180" s="366">
        <f>TRUNC((D180*E180),2)</f>
        <v>1.2</v>
      </c>
      <c r="H180" s="453"/>
    </row>
    <row r="181" spans="1:8" ht="25.5">
      <c r="A181" s="421">
        <v>296</v>
      </c>
      <c r="B181" s="398" t="s">
        <v>442</v>
      </c>
      <c r="C181" s="340" t="s">
        <v>57</v>
      </c>
      <c r="D181" s="436">
        <v>1</v>
      </c>
      <c r="E181" s="223">
        <v>2.96</v>
      </c>
      <c r="F181" s="366">
        <f t="shared" ref="F181:F185" si="1">TRUNC((D181*E181),2)</f>
        <v>2.96</v>
      </c>
      <c r="H181" s="453"/>
    </row>
    <row r="182" spans="1:8" ht="25.5">
      <c r="A182" s="421">
        <v>11712</v>
      </c>
      <c r="B182" s="398" t="s">
        <v>1520</v>
      </c>
      <c r="C182" s="340" t="s">
        <v>57</v>
      </c>
      <c r="D182" s="436">
        <v>1</v>
      </c>
      <c r="E182" s="223">
        <v>34.9</v>
      </c>
      <c r="F182" s="366">
        <f t="shared" si="1"/>
        <v>34.9</v>
      </c>
      <c r="H182" s="453"/>
    </row>
    <row r="183" spans="1:8" ht="38.25">
      <c r="A183" s="421">
        <v>20078</v>
      </c>
      <c r="B183" s="398" t="s">
        <v>1521</v>
      </c>
      <c r="C183" s="340" t="s">
        <v>57</v>
      </c>
      <c r="D183" s="436">
        <v>0.02</v>
      </c>
      <c r="E183" s="223">
        <v>29.73</v>
      </c>
      <c r="F183" s="366">
        <f t="shared" si="1"/>
        <v>0.59</v>
      </c>
      <c r="H183" s="927"/>
    </row>
    <row r="184" spans="1:8">
      <c r="A184" s="421">
        <v>20083</v>
      </c>
      <c r="B184" s="398" t="s">
        <v>123</v>
      </c>
      <c r="C184" s="340" t="s">
        <v>57</v>
      </c>
      <c r="D184" s="454">
        <v>2.2499999999999999E-2</v>
      </c>
      <c r="E184" s="223">
        <v>70.52</v>
      </c>
      <c r="F184" s="366">
        <f t="shared" si="1"/>
        <v>1.58</v>
      </c>
      <c r="H184" s="927"/>
    </row>
    <row r="185" spans="1:8">
      <c r="A185" s="421">
        <v>38383</v>
      </c>
      <c r="B185" s="398" t="s">
        <v>165</v>
      </c>
      <c r="C185" s="340" t="s">
        <v>57</v>
      </c>
      <c r="D185" s="436">
        <v>6.4000000000000001E-2</v>
      </c>
      <c r="E185" s="102">
        <v>2.19</v>
      </c>
      <c r="F185" s="366">
        <f t="shared" si="1"/>
        <v>0.14000000000000001</v>
      </c>
      <c r="H185" s="928"/>
    </row>
    <row r="186" spans="1:8" ht="15.75" thickBot="1">
      <c r="A186" s="206"/>
      <c r="B186" s="369"/>
      <c r="C186" s="446"/>
      <c r="D186" s="447"/>
      <c r="E186" s="448" t="s">
        <v>60</v>
      </c>
      <c r="F186" s="926">
        <f>SUM(F180:F185)</f>
        <v>41.370000000000005</v>
      </c>
      <c r="H186" s="453"/>
    </row>
    <row r="187" spans="1:8" ht="15.75" thickBot="1">
      <c r="A187" s="104"/>
      <c r="B187" s="2194" t="s">
        <v>55</v>
      </c>
      <c r="C187" s="2194"/>
      <c r="D187" s="2194"/>
      <c r="E187" s="2194"/>
      <c r="F187" s="404">
        <f>F178+F186</f>
        <v>50.120000000000005</v>
      </c>
    </row>
    <row r="188" spans="1:8" ht="15.75" thickBot="1"/>
    <row r="189" spans="1:8">
      <c r="A189" s="419" t="s">
        <v>1537</v>
      </c>
      <c r="B189" s="253" t="s">
        <v>1538</v>
      </c>
      <c r="C189" s="428" t="s">
        <v>57</v>
      </c>
      <c r="D189" s="160"/>
      <c r="E189" s="161"/>
      <c r="F189" s="240"/>
    </row>
    <row r="190" spans="1:8" ht="15" customHeight="1">
      <c r="A190" s="2164" t="s">
        <v>1539</v>
      </c>
      <c r="B190" s="2165"/>
      <c r="C190" s="2165"/>
      <c r="D190" s="2165"/>
      <c r="E190" s="2165"/>
      <c r="F190" s="2166"/>
    </row>
    <row r="191" spans="1:8" ht="25.5">
      <c r="A191" s="254"/>
      <c r="B191" s="429" t="s">
        <v>58</v>
      </c>
      <c r="C191" s="430" t="s">
        <v>51</v>
      </c>
      <c r="D191" s="431" t="s">
        <v>52</v>
      </c>
      <c r="E191" s="432" t="s">
        <v>64</v>
      </c>
      <c r="F191" s="433" t="s">
        <v>54</v>
      </c>
    </row>
    <row r="192" spans="1:8" ht="25.5">
      <c r="A192" s="434" t="s">
        <v>416</v>
      </c>
      <c r="B192" s="435" t="s">
        <v>102</v>
      </c>
      <c r="C192" s="340" t="s">
        <v>59</v>
      </c>
      <c r="D192" s="436">
        <v>0.2</v>
      </c>
      <c r="E192" s="202">
        <v>15.08</v>
      </c>
      <c r="F192" s="366">
        <f>TRUNC((D192*E192),2)</f>
        <v>3.01</v>
      </c>
    </row>
    <row r="193" spans="1:6" ht="25.5">
      <c r="A193" s="434" t="s">
        <v>417</v>
      </c>
      <c r="B193" s="435" t="s">
        <v>103</v>
      </c>
      <c r="C193" s="340" t="s">
        <v>59</v>
      </c>
      <c r="D193" s="436">
        <v>0.2</v>
      </c>
      <c r="E193" s="202">
        <v>19.920000000000002</v>
      </c>
      <c r="F193" s="366">
        <f>TRUNC((D193*E193),2)</f>
        <v>3.98</v>
      </c>
    </row>
    <row r="194" spans="1:6">
      <c r="A194" s="187"/>
      <c r="B194" s="186"/>
      <c r="C194" s="340" t="s">
        <v>43</v>
      </c>
      <c r="D194" s="437" t="s">
        <v>43</v>
      </c>
      <c r="E194" s="438" t="s">
        <v>60</v>
      </c>
      <c r="F194" s="439">
        <f>SUM(F192:F193)</f>
        <v>6.99</v>
      </c>
    </row>
    <row r="195" spans="1:6" ht="25.5">
      <c r="A195" s="187"/>
      <c r="B195" s="440" t="s">
        <v>95</v>
      </c>
      <c r="C195" s="370" t="s">
        <v>51</v>
      </c>
      <c r="D195" s="441" t="s">
        <v>52</v>
      </c>
      <c r="E195" s="442" t="s">
        <v>64</v>
      </c>
      <c r="F195" s="439" t="s">
        <v>54</v>
      </c>
    </row>
    <row r="196" spans="1:6">
      <c r="A196" s="455">
        <v>3148</v>
      </c>
      <c r="B196" s="204" t="s">
        <v>432</v>
      </c>
      <c r="C196" s="340" t="s">
        <v>57</v>
      </c>
      <c r="D196" s="364">
        <v>0.31</v>
      </c>
      <c r="E196" s="223">
        <v>18.329999999999998</v>
      </c>
      <c r="F196" s="366">
        <f>TRUNC((D196*E196),2)</f>
        <v>5.68</v>
      </c>
    </row>
    <row r="197" spans="1:6" ht="25.5">
      <c r="A197" s="434">
        <v>10836</v>
      </c>
      <c r="B197" s="204" t="s">
        <v>1540</v>
      </c>
      <c r="C197" s="340" t="s">
        <v>57</v>
      </c>
      <c r="D197" s="436">
        <v>1</v>
      </c>
      <c r="E197" s="223">
        <v>17.440000000000001</v>
      </c>
      <c r="F197" s="366">
        <f>TRUNC((D197*E197),2)</f>
        <v>17.440000000000001</v>
      </c>
    </row>
    <row r="198" spans="1:6" ht="15.75" thickBot="1">
      <c r="A198" s="206"/>
      <c r="B198" s="369"/>
      <c r="C198" s="446"/>
      <c r="D198" s="447"/>
      <c r="E198" s="448" t="s">
        <v>60</v>
      </c>
      <c r="F198" s="405">
        <f>SUM(F196:F197)</f>
        <v>23.12</v>
      </c>
    </row>
    <row r="199" spans="1:6" ht="15.75" thickBot="1">
      <c r="A199" s="104"/>
      <c r="B199" s="2194" t="s">
        <v>55</v>
      </c>
      <c r="C199" s="2194"/>
      <c r="D199" s="2194"/>
      <c r="E199" s="2194"/>
      <c r="F199" s="404">
        <f>F194+F198</f>
        <v>30.11</v>
      </c>
    </row>
    <row r="200" spans="1:6" ht="15.75" thickBot="1"/>
    <row r="201" spans="1:6">
      <c r="A201" s="419" t="s">
        <v>1541</v>
      </c>
      <c r="B201" s="253" t="s">
        <v>1538</v>
      </c>
      <c r="C201" s="428" t="s">
        <v>57</v>
      </c>
      <c r="D201" s="160"/>
      <c r="E201" s="161"/>
      <c r="F201" s="240"/>
    </row>
    <row r="202" spans="1:6" ht="15" customHeight="1">
      <c r="A202" s="2164" t="s">
        <v>1539</v>
      </c>
      <c r="B202" s="2165"/>
      <c r="C202" s="2165"/>
      <c r="D202" s="2165"/>
      <c r="E202" s="2165"/>
      <c r="F202" s="2166"/>
    </row>
    <row r="203" spans="1:6" ht="25.5">
      <c r="A203" s="254"/>
      <c r="B203" s="429" t="s">
        <v>58</v>
      </c>
      <c r="C203" s="430" t="s">
        <v>51</v>
      </c>
      <c r="D203" s="431" t="s">
        <v>52</v>
      </c>
      <c r="E203" s="432" t="s">
        <v>64</v>
      </c>
      <c r="F203" s="433" t="s">
        <v>54</v>
      </c>
    </row>
    <row r="204" spans="1:6" ht="25.5">
      <c r="A204" s="421" t="s">
        <v>416</v>
      </c>
      <c r="B204" s="435" t="s">
        <v>102</v>
      </c>
      <c r="C204" s="340" t="s">
        <v>59</v>
      </c>
      <c r="D204" s="436">
        <v>0.185</v>
      </c>
      <c r="E204" s="202">
        <v>15.08</v>
      </c>
      <c r="F204" s="1619">
        <f>TRUNC((D204*E204),2)</f>
        <v>2.78</v>
      </c>
    </row>
    <row r="205" spans="1:6" ht="25.5">
      <c r="A205" s="421" t="s">
        <v>417</v>
      </c>
      <c r="B205" s="435" t="s">
        <v>103</v>
      </c>
      <c r="C205" s="340" t="s">
        <v>59</v>
      </c>
      <c r="D205" s="436">
        <v>0.185</v>
      </c>
      <c r="E205" s="202">
        <v>19.920000000000002</v>
      </c>
      <c r="F205" s="1619">
        <f>TRUNC((D205*E205),2)</f>
        <v>3.68</v>
      </c>
    </row>
    <row r="206" spans="1:6">
      <c r="A206" s="1621"/>
      <c r="B206" s="1025"/>
      <c r="C206" s="340" t="s">
        <v>43</v>
      </c>
      <c r="D206" s="437" t="s">
        <v>43</v>
      </c>
      <c r="E206" s="438" t="s">
        <v>60</v>
      </c>
      <c r="F206" s="1622">
        <f>SUM(F204:F205)</f>
        <v>6.46</v>
      </c>
    </row>
    <row r="207" spans="1:6" ht="25.5">
      <c r="A207" s="1621"/>
      <c r="B207" s="1623" t="s">
        <v>95</v>
      </c>
      <c r="C207" s="370" t="s">
        <v>51</v>
      </c>
      <c r="D207" s="441" t="s">
        <v>52</v>
      </c>
      <c r="E207" s="442" t="s">
        <v>64</v>
      </c>
      <c r="F207" s="1622" t="s">
        <v>54</v>
      </c>
    </row>
    <row r="208" spans="1:6" ht="25.5">
      <c r="A208" s="1683">
        <v>20085</v>
      </c>
      <c r="B208" s="204" t="s">
        <v>1370</v>
      </c>
      <c r="C208" s="340" t="s">
        <v>57</v>
      </c>
      <c r="D208" s="364">
        <v>1</v>
      </c>
      <c r="E208" s="223">
        <v>2.65</v>
      </c>
      <c r="F208" s="1619">
        <f>TRUNC((D208*E208),2)</f>
        <v>2.65</v>
      </c>
    </row>
    <row r="209" spans="1:9" ht="26.25" thickBot="1">
      <c r="A209" s="1684">
        <v>301</v>
      </c>
      <c r="B209" s="1685" t="s">
        <v>1542</v>
      </c>
      <c r="C209" s="1673" t="s">
        <v>57</v>
      </c>
      <c r="D209" s="1686">
        <v>1</v>
      </c>
      <c r="E209" s="1675">
        <v>5.25</v>
      </c>
      <c r="F209" s="1676">
        <f t="shared" ref="F209:F211" si="2">TRUNC((D209*E209),2)</f>
        <v>5.25</v>
      </c>
    </row>
    <row r="210" spans="1:9" ht="38.25">
      <c r="A210" s="1687">
        <v>20078</v>
      </c>
      <c r="B210" s="1590" t="s">
        <v>1369</v>
      </c>
      <c r="C210" s="1688" t="s">
        <v>57</v>
      </c>
      <c r="D210" s="1689">
        <v>9.1999999999999998E-2</v>
      </c>
      <c r="E210" s="1690">
        <v>29.73</v>
      </c>
      <c r="F210" s="1691">
        <f t="shared" si="2"/>
        <v>2.73</v>
      </c>
    </row>
    <row r="211" spans="1:9" ht="25.5">
      <c r="A211" s="1683">
        <v>10908</v>
      </c>
      <c r="B211" s="204" t="s">
        <v>1543</v>
      </c>
      <c r="C211" s="340" t="s">
        <v>57</v>
      </c>
      <c r="D211" s="364">
        <v>1</v>
      </c>
      <c r="E211" s="223">
        <v>15.87</v>
      </c>
      <c r="F211" s="1619">
        <f t="shared" si="2"/>
        <v>15.87</v>
      </c>
    </row>
    <row r="212" spans="1:9" ht="15.75" thickBot="1">
      <c r="A212" s="206"/>
      <c r="B212" s="369"/>
      <c r="C212" s="1663"/>
      <c r="D212" s="447"/>
      <c r="E212" s="448" t="s">
        <v>60</v>
      </c>
      <c r="F212" s="405">
        <f>SUM(F208:F211)</f>
        <v>26.5</v>
      </c>
    </row>
    <row r="213" spans="1:9" ht="15.75" thickBot="1">
      <c r="A213" s="104"/>
      <c r="B213" s="2100" t="s">
        <v>55</v>
      </c>
      <c r="C213" s="2100"/>
      <c r="D213" s="2100"/>
      <c r="E213" s="2100"/>
      <c r="F213" s="1624">
        <f>F206+F212</f>
        <v>32.96</v>
      </c>
    </row>
    <row r="215" spans="1:9" ht="15.75" thickBot="1"/>
    <row r="216" spans="1:9" ht="25.5">
      <c r="A216" s="419" t="s">
        <v>443</v>
      </c>
      <c r="B216" s="253" t="s">
        <v>1546</v>
      </c>
      <c r="C216" s="428" t="s">
        <v>57</v>
      </c>
      <c r="D216" s="160"/>
      <c r="E216" s="161"/>
      <c r="F216" s="240"/>
      <c r="H216" s="426"/>
    </row>
    <row r="217" spans="1:9">
      <c r="A217" s="2164" t="s">
        <v>1547</v>
      </c>
      <c r="B217" s="2165"/>
      <c r="C217" s="2165"/>
      <c r="D217" s="2165"/>
      <c r="E217" s="2165"/>
      <c r="F217" s="2166"/>
    </row>
    <row r="218" spans="1:9" ht="25.5">
      <c r="A218" s="254"/>
      <c r="B218" s="429" t="s">
        <v>58</v>
      </c>
      <c r="C218" s="430" t="s">
        <v>51</v>
      </c>
      <c r="D218" s="431" t="s">
        <v>52</v>
      </c>
      <c r="E218" s="432" t="s">
        <v>64</v>
      </c>
      <c r="F218" s="433" t="s">
        <v>54</v>
      </c>
    </row>
    <row r="219" spans="1:9" ht="25.5">
      <c r="A219" s="434" t="s">
        <v>416</v>
      </c>
      <c r="B219" s="435" t="s">
        <v>102</v>
      </c>
      <c r="C219" s="340" t="s">
        <v>59</v>
      </c>
      <c r="D219" s="436">
        <v>0.55000000000000004</v>
      </c>
      <c r="E219" s="202">
        <v>15.08</v>
      </c>
      <c r="F219" s="366">
        <f>TRUNC((D219*E219),2)</f>
        <v>8.2899999999999991</v>
      </c>
    </row>
    <row r="220" spans="1:9" ht="25.5">
      <c r="A220" s="434" t="s">
        <v>417</v>
      </c>
      <c r="B220" s="435" t="s">
        <v>103</v>
      </c>
      <c r="C220" s="340" t="s">
        <v>59</v>
      </c>
      <c r="D220" s="436">
        <v>0.55000000000000004</v>
      </c>
      <c r="E220" s="202">
        <v>19.920000000000002</v>
      </c>
      <c r="F220" s="366">
        <f>TRUNC((D220*E220),2)</f>
        <v>10.95</v>
      </c>
    </row>
    <row r="221" spans="1:9">
      <c r="A221" s="187"/>
      <c r="B221" s="186"/>
      <c r="C221" s="340" t="s">
        <v>43</v>
      </c>
      <c r="D221" s="437" t="s">
        <v>43</v>
      </c>
      <c r="E221" s="438" t="s">
        <v>60</v>
      </c>
      <c r="F221" s="439">
        <f>SUM(F219:F220)</f>
        <v>19.239999999999998</v>
      </c>
      <c r="H221" s="931"/>
      <c r="I221" s="909"/>
    </row>
    <row r="222" spans="1:9" ht="25.5">
      <c r="A222" s="187"/>
      <c r="B222" s="440" t="s">
        <v>95</v>
      </c>
      <c r="C222" s="370" t="s">
        <v>51</v>
      </c>
      <c r="D222" s="441" t="s">
        <v>52</v>
      </c>
      <c r="E222" s="442" t="s">
        <v>64</v>
      </c>
      <c r="F222" s="439" t="s">
        <v>54</v>
      </c>
      <c r="H222" s="911"/>
      <c r="I222" s="451"/>
    </row>
    <row r="223" spans="1:9">
      <c r="A223" s="434">
        <v>122</v>
      </c>
      <c r="B223" s="204" t="s">
        <v>122</v>
      </c>
      <c r="C223" s="340" t="s">
        <v>101</v>
      </c>
      <c r="D223" s="364">
        <v>7.6999999999999999E-2</v>
      </c>
      <c r="E223" s="223">
        <v>81.209999999999994</v>
      </c>
      <c r="F223" s="366">
        <f>TRUNC((D223*E223),2)</f>
        <v>6.25</v>
      </c>
      <c r="H223" s="911"/>
      <c r="I223" s="451"/>
    </row>
    <row r="224" spans="1:9">
      <c r="A224" s="434">
        <v>20083</v>
      </c>
      <c r="B224" s="204" t="s">
        <v>123</v>
      </c>
      <c r="C224" s="340" t="s">
        <v>410</v>
      </c>
      <c r="D224" s="364">
        <v>0.11799999999999999</v>
      </c>
      <c r="E224" s="223">
        <v>70.52</v>
      </c>
      <c r="F224" s="366">
        <f>TRUNC((D224*E224),2)</f>
        <v>8.32</v>
      </c>
      <c r="H224" s="911"/>
      <c r="I224" s="451"/>
    </row>
    <row r="225" spans="1:9" ht="25.5">
      <c r="A225" s="434">
        <v>11656</v>
      </c>
      <c r="B225" s="204" t="s">
        <v>1548</v>
      </c>
      <c r="C225" s="340" t="s">
        <v>57</v>
      </c>
      <c r="D225" s="436">
        <v>1</v>
      </c>
      <c r="E225" s="223">
        <v>14.53</v>
      </c>
      <c r="F225" s="366">
        <f>TRUNC((D225*E225),2)</f>
        <v>14.53</v>
      </c>
      <c r="H225" s="911"/>
      <c r="I225" s="451"/>
    </row>
    <row r="226" spans="1:9" ht="15.75" thickBot="1">
      <c r="A226" s="206"/>
      <c r="B226" s="369"/>
      <c r="C226" s="446"/>
      <c r="D226" s="447"/>
      <c r="E226" s="448" t="s">
        <v>60</v>
      </c>
      <c r="F226" s="405">
        <f>SUM(F223:F225)</f>
        <v>29.1</v>
      </c>
    </row>
    <row r="227" spans="1:9" ht="15.75" thickBot="1">
      <c r="A227" s="104"/>
      <c r="B227" s="2194" t="s">
        <v>55</v>
      </c>
      <c r="C227" s="2194"/>
      <c r="D227" s="2194"/>
      <c r="E227" s="2194"/>
      <c r="F227" s="404">
        <f>F221+F226</f>
        <v>48.34</v>
      </c>
    </row>
    <row r="228" spans="1:9" ht="15.75" thickBot="1"/>
    <row r="229" spans="1:9" ht="15.75">
      <c r="A229" s="419" t="s">
        <v>444</v>
      </c>
      <c r="B229" s="253" t="s">
        <v>1550</v>
      </c>
      <c r="C229" s="428" t="s">
        <v>57</v>
      </c>
      <c r="D229" s="160"/>
      <c r="E229" s="161"/>
      <c r="F229" s="240"/>
      <c r="G229" s="426"/>
      <c r="H229" s="426"/>
    </row>
    <row r="230" spans="1:9">
      <c r="A230" s="2164" t="s">
        <v>1566</v>
      </c>
      <c r="B230" s="2165"/>
      <c r="C230" s="2165"/>
      <c r="D230" s="2165"/>
      <c r="E230" s="2165"/>
      <c r="F230" s="2166"/>
    </row>
    <row r="231" spans="1:9" ht="25.5">
      <c r="A231" s="254"/>
      <c r="B231" s="429" t="s">
        <v>58</v>
      </c>
      <c r="C231" s="430" t="s">
        <v>51</v>
      </c>
      <c r="D231" s="431" t="s">
        <v>52</v>
      </c>
      <c r="E231" s="432" t="s">
        <v>64</v>
      </c>
      <c r="F231" s="433" t="s">
        <v>54</v>
      </c>
    </row>
    <row r="232" spans="1:9" ht="25.5">
      <c r="A232" s="421" t="s">
        <v>416</v>
      </c>
      <c r="B232" s="435" t="s">
        <v>102</v>
      </c>
      <c r="C232" s="340" t="s">
        <v>59</v>
      </c>
      <c r="D232" s="454">
        <v>0.25</v>
      </c>
      <c r="E232" s="202">
        <v>15.08</v>
      </c>
      <c r="F232" s="1619">
        <f>TRUNC((D232*E232),2)</f>
        <v>3.77</v>
      </c>
    </row>
    <row r="233" spans="1:9" ht="25.5">
      <c r="A233" s="421" t="s">
        <v>417</v>
      </c>
      <c r="B233" s="435" t="s">
        <v>103</v>
      </c>
      <c r="C233" s="340" t="s">
        <v>59</v>
      </c>
      <c r="D233" s="454">
        <v>0.25</v>
      </c>
      <c r="E233" s="202">
        <v>19.920000000000002</v>
      </c>
      <c r="F233" s="1619">
        <f>TRUNC((D233*E233),2)</f>
        <v>4.9800000000000004</v>
      </c>
    </row>
    <row r="234" spans="1:9">
      <c r="A234" s="1621"/>
      <c r="B234" s="1025"/>
      <c r="C234" s="340" t="s">
        <v>43</v>
      </c>
      <c r="D234" s="437" t="s">
        <v>43</v>
      </c>
      <c r="E234" s="438" t="s">
        <v>60</v>
      </c>
      <c r="F234" s="1622">
        <f>SUM(F232:F233)</f>
        <v>8.75</v>
      </c>
    </row>
    <row r="235" spans="1:9" ht="25.5">
      <c r="A235" s="1621"/>
      <c r="B235" s="1623" t="s">
        <v>95</v>
      </c>
      <c r="C235" s="370" t="s">
        <v>51</v>
      </c>
      <c r="D235" s="441" t="s">
        <v>52</v>
      </c>
      <c r="E235" s="442" t="s">
        <v>64</v>
      </c>
      <c r="F235" s="1622" t="s">
        <v>54</v>
      </c>
      <c r="H235" s="453"/>
      <c r="I235" s="453"/>
    </row>
    <row r="236" spans="1:9">
      <c r="A236" s="1683">
        <v>3148</v>
      </c>
      <c r="B236" s="204" t="s">
        <v>432</v>
      </c>
      <c r="C236" s="340" t="s">
        <v>57</v>
      </c>
      <c r="D236" s="436">
        <v>0.94</v>
      </c>
      <c r="E236" s="223">
        <v>18.329999999999998</v>
      </c>
      <c r="F236" s="1619">
        <f>TRUNC((D236*E236),2)</f>
        <v>17.23</v>
      </c>
      <c r="H236" s="453"/>
      <c r="I236" s="453"/>
    </row>
    <row r="237" spans="1:9">
      <c r="A237" s="421">
        <v>20262</v>
      </c>
      <c r="B237" s="204" t="s">
        <v>1551</v>
      </c>
      <c r="C237" s="340" t="s">
        <v>57</v>
      </c>
      <c r="D237" s="436">
        <v>1</v>
      </c>
      <c r="E237" s="223">
        <v>14.38</v>
      </c>
      <c r="F237" s="1619">
        <f>TRUNC((D237*E237),2)</f>
        <v>14.38</v>
      </c>
      <c r="H237" s="453"/>
      <c r="I237" s="453"/>
    </row>
    <row r="238" spans="1:9" ht="15.75" thickBot="1">
      <c r="A238" s="206"/>
      <c r="B238" s="369"/>
      <c r="C238" s="1663"/>
      <c r="D238" s="447"/>
      <c r="E238" s="448" t="s">
        <v>60</v>
      </c>
      <c r="F238" s="405">
        <f>SUM(F236:F237)</f>
        <v>31.61</v>
      </c>
      <c r="H238" s="453"/>
      <c r="I238" s="453"/>
    </row>
    <row r="239" spans="1:9" ht="15.75" thickBot="1">
      <c r="A239" s="104"/>
      <c r="B239" s="2100" t="s">
        <v>55</v>
      </c>
      <c r="C239" s="2100"/>
      <c r="D239" s="2100"/>
      <c r="E239" s="2100"/>
      <c r="F239" s="1624">
        <f>F234+F238</f>
        <v>40.36</v>
      </c>
    </row>
    <row r="240" spans="1:9" ht="15.75" thickBot="1"/>
    <row r="241" spans="1:8" ht="25.5" customHeight="1">
      <c r="A241" s="419" t="s">
        <v>445</v>
      </c>
      <c r="B241" s="253" t="s">
        <v>1554</v>
      </c>
      <c r="C241" s="428" t="s">
        <v>57</v>
      </c>
      <c r="D241" s="160"/>
      <c r="E241" s="161"/>
      <c r="F241" s="240"/>
      <c r="G241" s="426"/>
      <c r="H241" s="426"/>
    </row>
    <row r="242" spans="1:8">
      <c r="A242" s="2164" t="s">
        <v>449</v>
      </c>
      <c r="B242" s="2165"/>
      <c r="C242" s="2165"/>
      <c r="D242" s="2165"/>
      <c r="E242" s="2165"/>
      <c r="F242" s="2166"/>
    </row>
    <row r="243" spans="1:8" ht="25.5">
      <c r="A243" s="254"/>
      <c r="B243" s="429" t="s">
        <v>58</v>
      </c>
      <c r="C243" s="430" t="s">
        <v>51</v>
      </c>
      <c r="D243" s="431" t="s">
        <v>52</v>
      </c>
      <c r="E243" s="432" t="s">
        <v>64</v>
      </c>
      <c r="F243" s="433" t="s">
        <v>54</v>
      </c>
    </row>
    <row r="244" spans="1:8" ht="25.5">
      <c r="A244" s="434" t="s">
        <v>416</v>
      </c>
      <c r="B244" s="435" t="s">
        <v>102</v>
      </c>
      <c r="C244" s="340" t="s">
        <v>59</v>
      </c>
      <c r="D244" s="436">
        <v>0.14000000000000001</v>
      </c>
      <c r="E244" s="202">
        <v>15.08</v>
      </c>
      <c r="F244" s="366">
        <f>TRUNC((D244*E244),2)</f>
        <v>2.11</v>
      </c>
    </row>
    <row r="245" spans="1:8" ht="25.5">
      <c r="A245" s="434" t="s">
        <v>417</v>
      </c>
      <c r="B245" s="435" t="s">
        <v>103</v>
      </c>
      <c r="C245" s="340" t="s">
        <v>59</v>
      </c>
      <c r="D245" s="436">
        <v>0.14000000000000001</v>
      </c>
      <c r="E245" s="202">
        <v>19.920000000000002</v>
      </c>
      <c r="F245" s="366">
        <f>TRUNC((D245*E245),2)</f>
        <v>2.78</v>
      </c>
    </row>
    <row r="246" spans="1:8">
      <c r="A246" s="187"/>
      <c r="B246" s="186"/>
      <c r="C246" s="340" t="s">
        <v>43</v>
      </c>
      <c r="D246" s="437" t="s">
        <v>43</v>
      </c>
      <c r="E246" s="438" t="s">
        <v>60</v>
      </c>
      <c r="F246" s="439">
        <f>SUM(F244:F245)</f>
        <v>4.8899999999999997</v>
      </c>
    </row>
    <row r="247" spans="1:8" ht="25.5">
      <c r="A247" s="187"/>
      <c r="B247" s="440" t="s">
        <v>95</v>
      </c>
      <c r="C247" s="370" t="s">
        <v>51</v>
      </c>
      <c r="D247" s="441" t="s">
        <v>52</v>
      </c>
      <c r="E247" s="442" t="s">
        <v>64</v>
      </c>
      <c r="F247" s="439" t="s">
        <v>54</v>
      </c>
    </row>
    <row r="248" spans="1:8" ht="25.5">
      <c r="A248" s="455">
        <v>6140</v>
      </c>
      <c r="B248" s="204" t="s">
        <v>1554</v>
      </c>
      <c r="C248" s="340" t="s">
        <v>57</v>
      </c>
      <c r="D248" s="364">
        <v>1</v>
      </c>
      <c r="E248" s="223">
        <v>3.48</v>
      </c>
      <c r="F248" s="366">
        <f>TRUNC((D248*E248),2)</f>
        <v>3.48</v>
      </c>
    </row>
    <row r="249" spans="1:8" ht="15.75" thickBot="1">
      <c r="A249" s="206"/>
      <c r="B249" s="369"/>
      <c r="C249" s="446"/>
      <c r="D249" s="447"/>
      <c r="E249" s="448" t="s">
        <v>60</v>
      </c>
      <c r="F249" s="405">
        <f>SUM(F248:F248)</f>
        <v>3.48</v>
      </c>
    </row>
    <row r="250" spans="1:8" ht="15.75" thickBot="1">
      <c r="A250" s="104"/>
      <c r="B250" s="2194" t="s">
        <v>55</v>
      </c>
      <c r="C250" s="2194"/>
      <c r="D250" s="2194"/>
      <c r="E250" s="2194"/>
      <c r="F250" s="404">
        <f>F246+F249</f>
        <v>8.3699999999999992</v>
      </c>
    </row>
    <row r="251" spans="1:8" ht="15.75" thickBot="1"/>
    <row r="252" spans="1:8" ht="28.5" customHeight="1">
      <c r="A252" s="419" t="s">
        <v>446</v>
      </c>
      <c r="B252" s="253" t="s">
        <v>1555</v>
      </c>
      <c r="C252" s="428" t="s">
        <v>57</v>
      </c>
      <c r="D252" s="160"/>
      <c r="E252" s="161"/>
      <c r="F252" s="240"/>
      <c r="G252" s="426"/>
      <c r="H252" s="426"/>
    </row>
    <row r="253" spans="1:8" ht="15" customHeight="1">
      <c r="A253" s="2164" t="s">
        <v>1565</v>
      </c>
      <c r="B253" s="2165"/>
      <c r="C253" s="2165"/>
      <c r="D253" s="2165"/>
      <c r="E253" s="2165"/>
      <c r="F253" s="2166"/>
    </row>
    <row r="254" spans="1:8" ht="25.5">
      <c r="A254" s="254"/>
      <c r="B254" s="429" t="s">
        <v>58</v>
      </c>
      <c r="C254" s="430" t="s">
        <v>51</v>
      </c>
      <c r="D254" s="431" t="s">
        <v>52</v>
      </c>
      <c r="E254" s="432" t="s">
        <v>64</v>
      </c>
      <c r="F254" s="433" t="s">
        <v>54</v>
      </c>
    </row>
    <row r="255" spans="1:8" ht="25.5">
      <c r="A255" s="421" t="s">
        <v>416</v>
      </c>
      <c r="B255" s="435" t="s">
        <v>102</v>
      </c>
      <c r="C255" s="340" t="s">
        <v>59</v>
      </c>
      <c r="D255" s="454">
        <v>7.0000000000000007E-2</v>
      </c>
      <c r="E255" s="202">
        <v>15.08</v>
      </c>
      <c r="F255" s="1619">
        <f>TRUNC((D255*E255),2)</f>
        <v>1.05</v>
      </c>
    </row>
    <row r="256" spans="1:8" ht="25.5">
      <c r="A256" s="421" t="s">
        <v>417</v>
      </c>
      <c r="B256" s="435" t="s">
        <v>103</v>
      </c>
      <c r="C256" s="340" t="s">
        <v>59</v>
      </c>
      <c r="D256" s="454">
        <v>7.0000000000000007E-2</v>
      </c>
      <c r="E256" s="202">
        <v>19.920000000000002</v>
      </c>
      <c r="F256" s="1619">
        <f>TRUNC((D256*E256),2)</f>
        <v>1.39</v>
      </c>
    </row>
    <row r="257" spans="1:11">
      <c r="A257" s="1621"/>
      <c r="B257" s="1025"/>
      <c r="C257" s="340" t="s">
        <v>43</v>
      </c>
      <c r="D257" s="437" t="s">
        <v>43</v>
      </c>
      <c r="E257" s="438" t="s">
        <v>60</v>
      </c>
      <c r="F257" s="1622">
        <f>SUM(F255:F256)</f>
        <v>2.44</v>
      </c>
    </row>
    <row r="258" spans="1:11" ht="25.5">
      <c r="A258" s="1621"/>
      <c r="B258" s="1623" t="s">
        <v>95</v>
      </c>
      <c r="C258" s="370" t="s">
        <v>51</v>
      </c>
      <c r="D258" s="441" t="s">
        <v>52</v>
      </c>
      <c r="E258" s="442" t="s">
        <v>64</v>
      </c>
      <c r="F258" s="1622" t="s">
        <v>54</v>
      </c>
      <c r="H258" s="453"/>
      <c r="I258" s="453"/>
    </row>
    <row r="259" spans="1:11">
      <c r="A259" s="421">
        <v>122</v>
      </c>
      <c r="B259" s="204" t="s">
        <v>122</v>
      </c>
      <c r="C259" s="340" t="s">
        <v>101</v>
      </c>
      <c r="D259" s="436">
        <v>8.0000000000000002E-3</v>
      </c>
      <c r="E259" s="223">
        <v>81.209999999999994</v>
      </c>
      <c r="F259" s="1619">
        <f>TRUNC((D259*E259),2)</f>
        <v>0.64</v>
      </c>
      <c r="H259" s="453"/>
      <c r="I259" s="453"/>
    </row>
    <row r="260" spans="1:11">
      <c r="A260" s="421">
        <v>20083</v>
      </c>
      <c r="B260" s="204" t="s">
        <v>123</v>
      </c>
      <c r="C260" s="340" t="s">
        <v>410</v>
      </c>
      <c r="D260" s="436">
        <v>1.0999999999999999E-2</v>
      </c>
      <c r="E260" s="223">
        <v>70.52</v>
      </c>
      <c r="F260" s="1619">
        <f>TRUNC((D260*E260),2)</f>
        <v>0.77</v>
      </c>
      <c r="H260" s="453"/>
      <c r="I260" s="453"/>
    </row>
    <row r="261" spans="1:11" ht="24.75">
      <c r="A261" s="421">
        <v>39319</v>
      </c>
      <c r="B261" s="1682" t="s">
        <v>1555</v>
      </c>
      <c r="C261" s="340" t="s">
        <v>57</v>
      </c>
      <c r="D261" s="436">
        <v>1</v>
      </c>
      <c r="E261" s="223">
        <v>6.25</v>
      </c>
      <c r="F261" s="1619">
        <f>TRUNC((D261*E261),2)</f>
        <v>6.25</v>
      </c>
      <c r="H261" s="453"/>
      <c r="I261" s="453"/>
    </row>
    <row r="262" spans="1:11" ht="15.75" thickBot="1">
      <c r="A262" s="206"/>
      <c r="B262" s="369"/>
      <c r="C262" s="1663"/>
      <c r="D262" s="447"/>
      <c r="E262" s="448" t="s">
        <v>60</v>
      </c>
      <c r="F262" s="405">
        <f>SUM(F259:F261)</f>
        <v>7.66</v>
      </c>
      <c r="H262" s="453"/>
      <c r="I262" s="453"/>
    </row>
    <row r="263" spans="1:11" ht="15.75" thickBot="1">
      <c r="A263" s="189"/>
      <c r="B263" s="2195" t="s">
        <v>55</v>
      </c>
      <c r="C263" s="2195"/>
      <c r="D263" s="2195"/>
      <c r="E263" s="2195"/>
      <c r="F263" s="533">
        <f>F257+F262</f>
        <v>10.1</v>
      </c>
    </row>
    <row r="264" spans="1:11" ht="15.75" thickBot="1"/>
    <row r="265" spans="1:11" ht="25.5">
      <c r="A265" s="419" t="s">
        <v>447</v>
      </c>
      <c r="B265" s="348" t="s">
        <v>1556</v>
      </c>
      <c r="C265" s="428" t="s">
        <v>57</v>
      </c>
      <c r="D265" s="160"/>
      <c r="E265" s="161"/>
      <c r="F265" s="240"/>
      <c r="G265" s="456"/>
      <c r="H265" s="426"/>
    </row>
    <row r="266" spans="1:11">
      <c r="A266" s="2164" t="s">
        <v>1565</v>
      </c>
      <c r="B266" s="2165"/>
      <c r="C266" s="2165"/>
      <c r="D266" s="2165"/>
      <c r="E266" s="2165"/>
      <c r="F266" s="2166"/>
    </row>
    <row r="267" spans="1:11" ht="25.5">
      <c r="A267" s="254"/>
      <c r="B267" s="429" t="s">
        <v>58</v>
      </c>
      <c r="C267" s="430" t="s">
        <v>51</v>
      </c>
      <c r="D267" s="431" t="s">
        <v>52</v>
      </c>
      <c r="E267" s="432" t="s">
        <v>64</v>
      </c>
      <c r="F267" s="433" t="s">
        <v>54</v>
      </c>
      <c r="H267" s="457"/>
    </row>
    <row r="268" spans="1:11" ht="25.5">
      <c r="A268" s="421" t="s">
        <v>416</v>
      </c>
      <c r="B268" s="435" t="s">
        <v>102</v>
      </c>
      <c r="C268" s="340" t="s">
        <v>59</v>
      </c>
      <c r="D268" s="454">
        <v>7.0000000000000007E-2</v>
      </c>
      <c r="E268" s="202">
        <v>15.08</v>
      </c>
      <c r="F268" s="366">
        <f>TRUNC((D268*E268),2)</f>
        <v>1.05</v>
      </c>
    </row>
    <row r="269" spans="1:11" ht="25.5">
      <c r="A269" s="421" t="s">
        <v>417</v>
      </c>
      <c r="B269" s="435" t="s">
        <v>103</v>
      </c>
      <c r="C269" s="340" t="s">
        <v>59</v>
      </c>
      <c r="D269" s="454">
        <v>7.0000000000000007E-2</v>
      </c>
      <c r="E269" s="202">
        <v>19.920000000000002</v>
      </c>
      <c r="F269" s="366">
        <f>TRUNC((D269*E269),2)</f>
        <v>1.39</v>
      </c>
    </row>
    <row r="270" spans="1:11">
      <c r="A270" s="187"/>
      <c r="B270" s="186"/>
      <c r="C270" s="340" t="s">
        <v>43</v>
      </c>
      <c r="D270" s="437" t="s">
        <v>43</v>
      </c>
      <c r="E270" s="438" t="s">
        <v>60</v>
      </c>
      <c r="F270" s="439">
        <f>SUM(F268:F269)</f>
        <v>2.44</v>
      </c>
      <c r="H270" s="449"/>
      <c r="I270" s="908"/>
      <c r="J270" s="909"/>
    </row>
    <row r="271" spans="1:11" ht="25.5">
      <c r="A271" s="187"/>
      <c r="B271" s="440" t="s">
        <v>95</v>
      </c>
      <c r="C271" s="370" t="s">
        <v>51</v>
      </c>
      <c r="D271" s="441" t="s">
        <v>52</v>
      </c>
      <c r="E271" s="442" t="s">
        <v>64</v>
      </c>
      <c r="F271" s="439" t="s">
        <v>54</v>
      </c>
      <c r="H271" s="449"/>
      <c r="I271" s="451"/>
      <c r="J271" s="909"/>
    </row>
    <row r="272" spans="1:11">
      <c r="A272" s="434">
        <v>122</v>
      </c>
      <c r="B272" s="204" t="s">
        <v>122</v>
      </c>
      <c r="C272" s="340" t="s">
        <v>101</v>
      </c>
      <c r="D272" s="436">
        <v>8.0000000000000002E-3</v>
      </c>
      <c r="E272" s="223">
        <v>81.209999999999994</v>
      </c>
      <c r="F272" s="366">
        <f>TRUNC((D272*E272),2)</f>
        <v>0.64</v>
      </c>
      <c r="H272" s="449"/>
      <c r="I272" s="908"/>
      <c r="J272" s="909"/>
      <c r="K272" s="61"/>
    </row>
    <row r="273" spans="1:11">
      <c r="A273" s="434">
        <v>20083</v>
      </c>
      <c r="B273" s="204" t="s">
        <v>123</v>
      </c>
      <c r="C273" s="340" t="s">
        <v>410</v>
      </c>
      <c r="D273" s="436">
        <v>1.0999999999999999E-2</v>
      </c>
      <c r="E273" s="223">
        <v>70.52</v>
      </c>
      <c r="F273" s="366">
        <f>TRUNC((D273*E273),2)</f>
        <v>0.77</v>
      </c>
      <c r="H273" s="449"/>
      <c r="I273" s="908"/>
      <c r="J273" s="909"/>
      <c r="K273" s="61"/>
    </row>
    <row r="274" spans="1:11" ht="24.75">
      <c r="A274" s="434">
        <v>39319</v>
      </c>
      <c r="B274" s="933" t="s">
        <v>1555</v>
      </c>
      <c r="C274" s="340" t="s">
        <v>57</v>
      </c>
      <c r="D274" s="436">
        <v>1</v>
      </c>
      <c r="E274" s="223">
        <v>10.39</v>
      </c>
      <c r="F274" s="366">
        <f>TRUNC((D274*E274),2)</f>
        <v>10.39</v>
      </c>
      <c r="H274" s="449"/>
      <c r="I274" s="451"/>
      <c r="J274" s="909"/>
      <c r="K274" s="61"/>
    </row>
    <row r="275" spans="1:11" ht="15.75" thickBot="1">
      <c r="A275" s="206"/>
      <c r="B275" s="369"/>
      <c r="C275" s="446"/>
      <c r="D275" s="447"/>
      <c r="E275" s="448" t="s">
        <v>60</v>
      </c>
      <c r="F275" s="405">
        <f>SUM(F272:F274)</f>
        <v>11.8</v>
      </c>
      <c r="I275" s="906"/>
      <c r="J275" s="906"/>
      <c r="K275" s="61"/>
    </row>
    <row r="276" spans="1:11" ht="15.75" thickBot="1">
      <c r="A276" s="104"/>
      <c r="B276" s="2194" t="s">
        <v>55</v>
      </c>
      <c r="C276" s="2194"/>
      <c r="D276" s="2194"/>
      <c r="E276" s="2194"/>
      <c r="F276" s="404">
        <f>F270+F275</f>
        <v>14.24</v>
      </c>
      <c r="I276" s="906"/>
      <c r="J276" s="906"/>
      <c r="K276" s="906"/>
    </row>
    <row r="277" spans="1:11" ht="15.75" thickBot="1">
      <c r="I277" s="906"/>
      <c r="J277" s="906"/>
      <c r="K277" s="906"/>
    </row>
    <row r="278" spans="1:11" ht="26.25" customHeight="1">
      <c r="A278" s="419" t="s">
        <v>448</v>
      </c>
      <c r="B278" s="253" t="s">
        <v>1558</v>
      </c>
      <c r="C278" s="428" t="s">
        <v>57</v>
      </c>
      <c r="D278" s="160"/>
      <c r="E278" s="161"/>
      <c r="F278" s="240"/>
      <c r="H278" s="426"/>
      <c r="I278" s="61"/>
      <c r="J278" s="61"/>
      <c r="K278" s="61"/>
    </row>
    <row r="279" spans="1:11">
      <c r="A279" s="2164" t="s">
        <v>1567</v>
      </c>
      <c r="B279" s="2165"/>
      <c r="C279" s="2165"/>
      <c r="D279" s="2165"/>
      <c r="E279" s="2165"/>
      <c r="F279" s="2166"/>
      <c r="H279" s="932"/>
      <c r="I279" s="932"/>
      <c r="J279" s="932"/>
      <c r="K279" s="932"/>
    </row>
    <row r="280" spans="1:11" ht="25.5">
      <c r="A280" s="254"/>
      <c r="B280" s="429" t="s">
        <v>58</v>
      </c>
      <c r="C280" s="430" t="s">
        <v>51</v>
      </c>
      <c r="D280" s="431" t="s">
        <v>52</v>
      </c>
      <c r="E280" s="432" t="s">
        <v>64</v>
      </c>
      <c r="F280" s="433" t="s">
        <v>54</v>
      </c>
      <c r="H280" s="932"/>
      <c r="I280" s="932"/>
      <c r="J280" s="932"/>
      <c r="K280" s="932"/>
    </row>
    <row r="281" spans="1:11" ht="25.5">
      <c r="A281" s="434" t="s">
        <v>416</v>
      </c>
      <c r="B281" s="435" t="s">
        <v>102</v>
      </c>
      <c r="C281" s="340" t="s">
        <v>59</v>
      </c>
      <c r="D281" s="458">
        <v>0.55000000000000004</v>
      </c>
      <c r="E281" s="202">
        <v>15.08</v>
      </c>
      <c r="F281" s="366">
        <f>TRUNC((D281*E281),2)</f>
        <v>8.2899999999999991</v>
      </c>
      <c r="H281" s="932"/>
      <c r="I281" s="932"/>
      <c r="J281" s="932"/>
      <c r="K281" s="932"/>
    </row>
    <row r="282" spans="1:11" ht="25.5">
      <c r="A282" s="434" t="s">
        <v>417</v>
      </c>
      <c r="B282" s="435" t="s">
        <v>103</v>
      </c>
      <c r="C282" s="340" t="s">
        <v>59</v>
      </c>
      <c r="D282" s="458">
        <v>0.55000000000000004</v>
      </c>
      <c r="E282" s="202">
        <v>19.920000000000002</v>
      </c>
      <c r="F282" s="366">
        <f>TRUNC((D282*E282),2)</f>
        <v>10.95</v>
      </c>
      <c r="H282" s="932"/>
      <c r="I282" s="932"/>
      <c r="J282" s="932"/>
      <c r="K282" s="932"/>
    </row>
    <row r="283" spans="1:11">
      <c r="A283" s="187"/>
      <c r="B283" s="186"/>
      <c r="C283" s="340" t="s">
        <v>43</v>
      </c>
      <c r="D283" s="437" t="s">
        <v>43</v>
      </c>
      <c r="E283" s="438" t="s">
        <v>60</v>
      </c>
      <c r="F283" s="439">
        <f>SUM(F281:F282)</f>
        <v>19.239999999999998</v>
      </c>
      <c r="H283" s="932"/>
      <c r="I283" s="932"/>
      <c r="J283" s="932"/>
      <c r="K283" s="932"/>
    </row>
    <row r="284" spans="1:11" ht="25.5">
      <c r="A284" s="187"/>
      <c r="B284" s="440" t="s">
        <v>95</v>
      </c>
      <c r="C284" s="370" t="s">
        <v>51</v>
      </c>
      <c r="D284" s="441" t="s">
        <v>52</v>
      </c>
      <c r="E284" s="442" t="s">
        <v>64</v>
      </c>
      <c r="F284" s="439" t="s">
        <v>54</v>
      </c>
      <c r="H284" s="932"/>
      <c r="I284" s="932"/>
      <c r="J284" s="932"/>
      <c r="K284" s="932"/>
    </row>
    <row r="285" spans="1:11" ht="25.5">
      <c r="A285" s="434">
        <v>35277</v>
      </c>
      <c r="B285" s="204" t="s">
        <v>1558</v>
      </c>
      <c r="C285" s="340" t="s">
        <v>57</v>
      </c>
      <c r="D285" s="436">
        <v>1</v>
      </c>
      <c r="E285" s="223">
        <v>492.7</v>
      </c>
      <c r="F285" s="366">
        <f>TRUNC((D285*E285),2)</f>
        <v>492.7</v>
      </c>
      <c r="H285" s="932"/>
      <c r="I285" s="932"/>
      <c r="J285" s="932"/>
      <c r="K285" s="932"/>
    </row>
    <row r="286" spans="1:11" ht="15.75" thickBot="1">
      <c r="A286" s="206"/>
      <c r="B286" s="369"/>
      <c r="C286" s="446"/>
      <c r="D286" s="447"/>
      <c r="E286" s="448" t="s">
        <v>60</v>
      </c>
      <c r="F286" s="405">
        <f>SUM(F285:F285)</f>
        <v>492.7</v>
      </c>
    </row>
    <row r="287" spans="1:11" ht="15.75" thickBot="1">
      <c r="A287" s="104"/>
      <c r="B287" s="2194" t="s">
        <v>55</v>
      </c>
      <c r="C287" s="2194"/>
      <c r="D287" s="2194"/>
      <c r="E287" s="2194"/>
      <c r="F287" s="404">
        <f>F283+F286</f>
        <v>511.94</v>
      </c>
    </row>
    <row r="288" spans="1:11" ht="15.75" thickBot="1"/>
    <row r="289" spans="1:9" ht="25.5">
      <c r="A289" s="419" t="s">
        <v>450</v>
      </c>
      <c r="B289" s="417" t="s">
        <v>454</v>
      </c>
      <c r="C289" s="159" t="s">
        <v>57</v>
      </c>
      <c r="D289" s="160"/>
      <c r="E289" s="161"/>
      <c r="F289" s="162"/>
      <c r="G289" s="426"/>
      <c r="H289" s="461"/>
    </row>
    <row r="290" spans="1:9">
      <c r="A290" s="2081" t="s">
        <v>455</v>
      </c>
      <c r="B290" s="2082"/>
      <c r="C290" s="2082"/>
      <c r="D290" s="2082"/>
      <c r="E290" s="2082"/>
      <c r="F290" s="2083"/>
      <c r="G290" s="461"/>
      <c r="H290" s="461"/>
    </row>
    <row r="291" spans="1:9" ht="30">
      <c r="A291" s="92"/>
      <c r="B291" s="93" t="s">
        <v>58</v>
      </c>
      <c r="C291" s="94" t="s">
        <v>51</v>
      </c>
      <c r="D291" s="95" t="s">
        <v>52</v>
      </c>
      <c r="E291" s="107" t="s">
        <v>64</v>
      </c>
      <c r="F291" s="96" t="s">
        <v>54</v>
      </c>
      <c r="G291" s="461"/>
      <c r="H291" s="461"/>
    </row>
    <row r="292" spans="1:9" ht="25.5">
      <c r="A292" s="388">
        <v>88262</v>
      </c>
      <c r="B292" s="398" t="s">
        <v>389</v>
      </c>
      <c r="C292" s="99" t="s">
        <v>59</v>
      </c>
      <c r="D292" s="226">
        <v>0.5</v>
      </c>
      <c r="E292" s="223">
        <v>19.670000000000002</v>
      </c>
      <c r="F292" s="224">
        <f>TRUNC((D292*E292),2)</f>
        <v>9.83</v>
      </c>
      <c r="G292" s="461"/>
      <c r="H292" s="461"/>
    </row>
    <row r="293" spans="1:9">
      <c r="A293" s="1017">
        <v>88316</v>
      </c>
      <c r="B293" s="1025" t="s">
        <v>68</v>
      </c>
      <c r="C293" s="99" t="s">
        <v>59</v>
      </c>
      <c r="D293" s="226">
        <v>1.625</v>
      </c>
      <c r="E293" s="203">
        <v>15.91</v>
      </c>
      <c r="F293" s="224">
        <f>TRUNC((D293*E293),2)</f>
        <v>25.85</v>
      </c>
      <c r="G293" s="461"/>
      <c r="H293" s="461"/>
    </row>
    <row r="294" spans="1:9">
      <c r="A294" s="97"/>
      <c r="B294" s="98"/>
      <c r="C294" s="99" t="s">
        <v>43</v>
      </c>
      <c r="D294" s="100" t="s">
        <v>43</v>
      </c>
      <c r="E294" s="295" t="s">
        <v>60</v>
      </c>
      <c r="F294" s="1618">
        <f>SUM(F292:F293)</f>
        <v>35.68</v>
      </c>
      <c r="G294" s="461"/>
      <c r="H294" s="461"/>
    </row>
    <row r="295" spans="1:9" ht="30">
      <c r="A295" s="97"/>
      <c r="B295" s="1593" t="s">
        <v>95</v>
      </c>
      <c r="C295" s="94" t="s">
        <v>51</v>
      </c>
      <c r="D295" s="95" t="s">
        <v>52</v>
      </c>
      <c r="E295" s="107" t="s">
        <v>64</v>
      </c>
      <c r="F295" s="96" t="s">
        <v>54</v>
      </c>
      <c r="G295" s="461"/>
      <c r="H295" s="461"/>
    </row>
    <row r="296" spans="1:9" ht="25.5">
      <c r="A296" s="361">
        <v>3992</v>
      </c>
      <c r="B296" s="398" t="s">
        <v>456</v>
      </c>
      <c r="C296" s="99" t="s">
        <v>56</v>
      </c>
      <c r="D296" s="223">
        <v>30</v>
      </c>
      <c r="E296" s="223">
        <v>15.4</v>
      </c>
      <c r="F296" s="224">
        <f>TRUNC((D296*E296),2)</f>
        <v>462</v>
      </c>
      <c r="G296" s="461"/>
      <c r="H296" s="462" t="s">
        <v>457</v>
      </c>
      <c r="I296" s="463" t="s">
        <v>458</v>
      </c>
    </row>
    <row r="297" spans="1:9" ht="30">
      <c r="A297" s="361">
        <v>20213</v>
      </c>
      <c r="B297" s="398" t="s">
        <v>459</v>
      </c>
      <c r="C297" s="99" t="s">
        <v>56</v>
      </c>
      <c r="D297" s="223">
        <v>12.5</v>
      </c>
      <c r="E297" s="223">
        <v>11.72</v>
      </c>
      <c r="F297" s="224">
        <f>TRUNC((D297*E297),2)</f>
        <v>146.5</v>
      </c>
      <c r="G297" s="461"/>
      <c r="H297" s="464" t="s">
        <v>460</v>
      </c>
    </row>
    <row r="298" spans="1:9" ht="25.5">
      <c r="A298" s="361">
        <v>37104</v>
      </c>
      <c r="B298" s="362" t="s">
        <v>273</v>
      </c>
      <c r="C298" s="340" t="s">
        <v>57</v>
      </c>
      <c r="D298" s="226">
        <v>1</v>
      </c>
      <c r="E298" s="223">
        <v>758.85</v>
      </c>
      <c r="F298" s="224">
        <f>TRUNC((D298*E298),2)</f>
        <v>758.85</v>
      </c>
      <c r="G298" s="461"/>
      <c r="H298" s="461"/>
    </row>
    <row r="299" spans="1:9">
      <c r="A299" s="145"/>
      <c r="B299" s="191"/>
      <c r="C299" s="152"/>
      <c r="D299" s="192"/>
      <c r="E299" s="295"/>
      <c r="F299" s="96">
        <f>SUM(F296:F298)</f>
        <v>1367.35</v>
      </c>
    </row>
    <row r="300" spans="1:9" ht="15.75" thickBot="1">
      <c r="A300" s="194"/>
      <c r="B300" s="2191" t="s">
        <v>55</v>
      </c>
      <c r="C300" s="2191"/>
      <c r="D300" s="2191"/>
      <c r="E300" s="2191"/>
      <c r="F300" s="195">
        <f>F294+F299</f>
        <v>1403.03</v>
      </c>
    </row>
    <row r="301" spans="1:9" ht="39" thickBot="1">
      <c r="A301" s="465" t="s">
        <v>461</v>
      </c>
      <c r="B301" s="466" t="s">
        <v>462</v>
      </c>
      <c r="C301" s="1666" t="s">
        <v>463</v>
      </c>
      <c r="D301" s="2192" t="s">
        <v>464</v>
      </c>
      <c r="E301" s="2192"/>
      <c r="F301" s="2193"/>
    </row>
    <row r="302" spans="1:9" ht="3.75" customHeight="1" thickBot="1">
      <c r="A302" s="1692"/>
      <c r="B302" s="1004"/>
      <c r="C302" s="1692"/>
      <c r="D302" s="1692"/>
      <c r="E302" s="1692"/>
      <c r="F302" s="1692"/>
      <c r="G302" s="46"/>
    </row>
    <row r="303" spans="1:9" ht="42.75" customHeight="1" thickBot="1">
      <c r="A303" s="2113" t="s">
        <v>136</v>
      </c>
      <c r="B303" s="2114"/>
      <c r="C303" s="2002" t="s">
        <v>116</v>
      </c>
      <c r="D303" s="2002"/>
      <c r="E303" s="2002"/>
      <c r="F303" s="2003"/>
    </row>
  </sheetData>
  <mergeCells count="51">
    <mergeCell ref="A83:F83"/>
    <mergeCell ref="B94:E94"/>
    <mergeCell ref="B135:E135"/>
    <mergeCell ref="B55:E55"/>
    <mergeCell ref="A58:F58"/>
    <mergeCell ref="A71:F71"/>
    <mergeCell ref="B80:E80"/>
    <mergeCell ref="A97:F97"/>
    <mergeCell ref="B107:E107"/>
    <mergeCell ref="A110:F110"/>
    <mergeCell ref="B121:E121"/>
    <mergeCell ref="A124:F124"/>
    <mergeCell ref="B27:E27"/>
    <mergeCell ref="A30:F30"/>
    <mergeCell ref="B41:E41"/>
    <mergeCell ref="A44:F44"/>
    <mergeCell ref="B68:E68"/>
    <mergeCell ref="B3:F3"/>
    <mergeCell ref="B4:F4"/>
    <mergeCell ref="A14:F14"/>
    <mergeCell ref="B5:F5"/>
    <mergeCell ref="A16:F16"/>
    <mergeCell ref="A138:F138"/>
    <mergeCell ref="B148:E148"/>
    <mergeCell ref="A151:F151"/>
    <mergeCell ref="B159:E159"/>
    <mergeCell ref="A162:F162"/>
    <mergeCell ref="B171:E171"/>
    <mergeCell ref="A174:F174"/>
    <mergeCell ref="B187:E187"/>
    <mergeCell ref="A217:F217"/>
    <mergeCell ref="B227:E227"/>
    <mergeCell ref="A190:F190"/>
    <mergeCell ref="B199:E199"/>
    <mergeCell ref="A202:F202"/>
    <mergeCell ref="B213:E213"/>
    <mergeCell ref="A230:F230"/>
    <mergeCell ref="B239:E239"/>
    <mergeCell ref="A242:F242"/>
    <mergeCell ref="A279:F279"/>
    <mergeCell ref="B287:E287"/>
    <mergeCell ref="B250:E250"/>
    <mergeCell ref="A253:F253"/>
    <mergeCell ref="B263:E263"/>
    <mergeCell ref="A266:F266"/>
    <mergeCell ref="B276:E276"/>
    <mergeCell ref="A303:B303"/>
    <mergeCell ref="C303:F303"/>
    <mergeCell ref="A290:F290"/>
    <mergeCell ref="B300:E300"/>
    <mergeCell ref="D301:F301"/>
  </mergeCells>
  <conditionalFormatting sqref="H45 I270:J271">
    <cfRule type="expression" dxfId="13" priority="53" stopIfTrue="1">
      <formula>AND($A45&lt;&gt;"COMPOSICAO",$A45&lt;&gt;"INSUMO",$A45&lt;&gt;"")</formula>
    </cfRule>
    <cfRule type="expression" dxfId="12" priority="54" stopIfTrue="1">
      <formula>AND(OR($A45="COMPOSICAO",$A45="INSUMO",$A45&lt;&gt;""),$A45&lt;&gt;"")</formula>
    </cfRule>
  </conditionalFormatting>
  <conditionalFormatting sqref="H54">
    <cfRule type="expression" dxfId="11" priority="47" stopIfTrue="1">
      <formula>AND($A54&lt;&gt;"COMPOSICAO",$A54&lt;&gt;"INSUMO",$A54&lt;&gt;"")</formula>
    </cfRule>
    <cfRule type="expression" dxfId="10" priority="48" stopIfTrue="1">
      <formula>AND(OR($A54="COMPOSICAO",$A54="INSUMO",$A54&lt;&gt;""),$A54&lt;&gt;"")</formula>
    </cfRule>
  </conditionalFormatting>
  <conditionalFormatting sqref="H221:H222">
    <cfRule type="expression" dxfId="9" priority="39" stopIfTrue="1">
      <formula>AND($A221&lt;&gt;"COMPOSICAO",$A221&lt;&gt;"INSUMO",$A221&lt;&gt;"")</formula>
    </cfRule>
    <cfRule type="expression" dxfId="8" priority="40" stopIfTrue="1">
      <formula>AND(OR($A221="COMPOSICAO",$A221="INSUMO",$A221&lt;&gt;""),$A221&lt;&gt;"")</formula>
    </cfRule>
  </conditionalFormatting>
  <conditionalFormatting sqref="I221:I222">
    <cfRule type="expression" dxfId="7" priority="37" stopIfTrue="1">
      <formula>AND($A221&lt;&gt;"COMPOSICAO",$A221&lt;&gt;"INSUMO",$A221&lt;&gt;"")</formula>
    </cfRule>
    <cfRule type="expression" dxfId="6" priority="38" stopIfTrue="1">
      <formula>AND(OR($A221="COMPOSICAO",$A221="INSUMO",$A221&lt;&gt;""),$A221&lt;&gt;"")</formula>
    </cfRule>
  </conditionalFormatting>
  <conditionalFormatting sqref="H128:H129">
    <cfRule type="expression" dxfId="5" priority="1" stopIfTrue="1">
      <formula>AND($A128&lt;&gt;"COMPOSICAO",$A128&lt;&gt;"INSUMO",$A128&lt;&gt;"")</formula>
    </cfRule>
    <cfRule type="expression" dxfId="4" priority="2" stopIfTrue="1">
      <formula>AND(OR($A128="COMPOSICAO",$A128="INSUMO",$A128&lt;&gt;""),$A128&lt;&gt;"")</formula>
    </cfRule>
  </conditionalFormatting>
  <conditionalFormatting sqref="J128:J129">
    <cfRule type="expression" dxfId="3" priority="5" stopIfTrue="1">
      <formula>AND($A128&lt;&gt;"COMPOSICAO",$A128&lt;&gt;"INSUMO",$A128&lt;&gt;"")</formula>
    </cfRule>
    <cfRule type="expression" dxfId="2" priority="6" stopIfTrue="1">
      <formula>AND(OR($A128="COMPOSICAO",$A128="INSUMO",$A128&lt;&gt;""),$A128&lt;&gt;"")</formula>
    </cfRule>
  </conditionalFormatting>
  <conditionalFormatting sqref="I128:I129">
    <cfRule type="expression" dxfId="1" priority="3" stopIfTrue="1">
      <formula>AND($A128&lt;&gt;"COMPOSICAO",$A128&lt;&gt;"INSUMO",$A128&lt;&gt;"")</formula>
    </cfRule>
    <cfRule type="expression" dxfId="0"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8 I278 J278 A126:A127 A99:A100 A73:A74 A153:A154 A85:A86 A112:A113 A164:A165 A219:A220 A232:A233 A244:A245 A204:A205 A192:A193 A176:A177 H286:H288 A281:A28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workbookViewId="0">
      <selection activeCell="H9" sqref="H9"/>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140"/>
      <c r="B1" s="141"/>
      <c r="C1" s="141"/>
      <c r="D1" s="141"/>
      <c r="E1" s="141"/>
      <c r="F1" s="142"/>
    </row>
    <row r="2" spans="1:6">
      <c r="A2" s="135"/>
      <c r="B2" s="46"/>
      <c r="C2" s="46"/>
      <c r="D2" s="46"/>
      <c r="E2" s="46"/>
      <c r="F2" s="136"/>
    </row>
    <row r="3" spans="1:6">
      <c r="A3" s="135"/>
      <c r="B3" s="2004" t="s">
        <v>127</v>
      </c>
      <c r="C3" s="2004"/>
      <c r="D3" s="2004"/>
      <c r="E3" s="2004"/>
      <c r="F3" s="2101"/>
    </row>
    <row r="4" spans="1:6">
      <c r="A4" s="135"/>
      <c r="B4" s="2004" t="s">
        <v>128</v>
      </c>
      <c r="C4" s="2004"/>
      <c r="D4" s="2004"/>
      <c r="E4" s="2004"/>
      <c r="F4" s="2101"/>
    </row>
    <row r="5" spans="1:6">
      <c r="A5" s="135"/>
      <c r="B5" s="2108" t="s">
        <v>284</v>
      </c>
      <c r="C5" s="2108"/>
      <c r="D5" s="2108"/>
      <c r="E5" s="2108"/>
      <c r="F5" s="2109"/>
    </row>
    <row r="6" spans="1:6" ht="15.75" thickBot="1">
      <c r="A6" s="245"/>
      <c r="B6" s="138"/>
      <c r="C6" s="138"/>
      <c r="D6" s="138"/>
      <c r="E6" s="138"/>
      <c r="F6" s="139"/>
    </row>
    <row r="7" spans="1:6" ht="5.25" customHeight="1" thickBot="1"/>
    <row r="8" spans="1:6">
      <c r="A8" s="242" t="s">
        <v>0</v>
      </c>
      <c r="B8" s="141" t="str">
        <f>'PLANILHA SEM DESON'!B7:C7</f>
        <v>364778/2019</v>
      </c>
      <c r="C8" s="141"/>
      <c r="D8" s="141"/>
      <c r="E8" s="243" t="s">
        <v>131</v>
      </c>
      <c r="F8" s="716">
        <f>'PLANILHA SEM DESON'!I10</f>
        <v>44414</v>
      </c>
    </row>
    <row r="9" spans="1:6">
      <c r="A9" s="244" t="s">
        <v>1</v>
      </c>
      <c r="B9" s="46" t="str">
        <f>'PLANILHA SEM DESON'!B8:C8</f>
        <v>CONSTRUÇÃO DE DIRETORIA DE UNIDADE DESCONCENTRADA DA SEMA - DUDS</v>
      </c>
      <c r="C9" s="46"/>
      <c r="D9" s="46"/>
      <c r="E9" s="46"/>
      <c r="F9" s="136"/>
    </row>
    <row r="10" spans="1:6">
      <c r="A10" s="214" t="s">
        <v>2</v>
      </c>
      <c r="B10" s="46" t="str">
        <f>'PLANILHA SEM DESON'!B9:C9</f>
        <v>Rua Erichin, esquina com Rua Circular - Bairro Residencial Arco Íris</v>
      </c>
      <c r="C10" s="46"/>
      <c r="D10" s="46"/>
      <c r="E10" s="46"/>
      <c r="F10" s="136"/>
    </row>
    <row r="11" spans="1:6">
      <c r="A11" s="214" t="s">
        <v>4</v>
      </c>
      <c r="B11" s="46" t="str">
        <f>'PLANILHA SEM DESON'!B10:C10</f>
        <v>CONFRESA - MT</v>
      </c>
      <c r="C11" s="46"/>
      <c r="D11" s="46"/>
      <c r="E11" s="46"/>
      <c r="F11" s="136"/>
    </row>
    <row r="12" spans="1:6" ht="15.75" thickBot="1">
      <c r="A12" s="215" t="s">
        <v>6</v>
      </c>
      <c r="B12" s="138" t="str">
        <f>'PLANILHA SEM DESON'!B11</f>
        <v xml:space="preserve">CONSTRUÇÃO </v>
      </c>
      <c r="C12" s="138"/>
      <c r="D12" s="138"/>
      <c r="E12" s="138"/>
      <c r="F12" s="139"/>
    </row>
    <row r="13" spans="1:6" ht="4.5" customHeight="1" thickBot="1">
      <c r="A13" s="46"/>
    </row>
    <row r="14" spans="1:6" ht="16.5" thickBot="1">
      <c r="A14" s="2158" t="s">
        <v>1490</v>
      </c>
      <c r="B14" s="2159"/>
      <c r="C14" s="2159"/>
      <c r="D14" s="2159"/>
      <c r="E14" s="2159"/>
      <c r="F14" s="2160"/>
    </row>
    <row r="15" spans="1:6" ht="25.5">
      <c r="A15" s="419" t="s">
        <v>401</v>
      </c>
      <c r="B15" s="417" t="s">
        <v>1491</v>
      </c>
      <c r="C15" s="159" t="s">
        <v>48</v>
      </c>
      <c r="D15" s="2167"/>
      <c r="E15" s="2168"/>
      <c r="F15" s="162"/>
    </row>
    <row r="16" spans="1:6" ht="15" customHeight="1">
      <c r="A16" s="2164" t="s">
        <v>1492</v>
      </c>
      <c r="B16" s="2165"/>
      <c r="C16" s="2165"/>
      <c r="D16" s="2165"/>
      <c r="E16" s="2165"/>
      <c r="F16" s="2166"/>
    </row>
    <row r="17" spans="1:8" ht="30">
      <c r="A17" s="92"/>
      <c r="B17" s="93" t="s">
        <v>58</v>
      </c>
      <c r="C17" s="94" t="s">
        <v>51</v>
      </c>
      <c r="D17" s="95" t="s">
        <v>52</v>
      </c>
      <c r="E17" s="107" t="s">
        <v>64</v>
      </c>
      <c r="F17" s="96" t="s">
        <v>54</v>
      </c>
    </row>
    <row r="18" spans="1:8">
      <c r="A18" s="146">
        <v>88270</v>
      </c>
      <c r="B18" s="398" t="s">
        <v>1493</v>
      </c>
      <c r="C18" s="99" t="s">
        <v>59</v>
      </c>
      <c r="D18" s="223">
        <v>0.2</v>
      </c>
      <c r="E18" s="203">
        <v>20.82</v>
      </c>
      <c r="F18" s="224">
        <f>TRUNC((D18*E18),2)</f>
        <v>4.16</v>
      </c>
    </row>
    <row r="19" spans="1:8">
      <c r="A19" s="97"/>
      <c r="B19" s="98"/>
      <c r="C19" s="99" t="s">
        <v>43</v>
      </c>
      <c r="D19" s="100" t="s">
        <v>43</v>
      </c>
      <c r="E19" s="295" t="s">
        <v>60</v>
      </c>
      <c r="F19" s="147">
        <f>SUM(F18:F18)</f>
        <v>4.16</v>
      </c>
    </row>
    <row r="20" spans="1:8" ht="30">
      <c r="A20" s="97"/>
      <c r="B20" s="101" t="s">
        <v>95</v>
      </c>
      <c r="C20" s="94" t="s">
        <v>51</v>
      </c>
      <c r="D20" s="95" t="s">
        <v>52</v>
      </c>
      <c r="E20" s="107" t="s">
        <v>64</v>
      </c>
      <c r="F20" s="96" t="s">
        <v>54</v>
      </c>
    </row>
    <row r="21" spans="1:8">
      <c r="A21" s="361">
        <v>3777</v>
      </c>
      <c r="B21" s="204" t="s">
        <v>1570</v>
      </c>
      <c r="C21" s="99" t="s">
        <v>48</v>
      </c>
      <c r="D21" s="226">
        <v>1.1000000000000001</v>
      </c>
      <c r="E21" s="223">
        <v>1.33</v>
      </c>
      <c r="F21" s="224">
        <f>TRUNC((D21*E21),2)</f>
        <v>1.46</v>
      </c>
    </row>
    <row r="22" spans="1:8">
      <c r="A22" s="145"/>
      <c r="B22" s="191"/>
      <c r="C22" s="152"/>
      <c r="D22" s="192"/>
      <c r="E22" s="295" t="s">
        <v>60</v>
      </c>
      <c r="F22" s="96">
        <f>SUM(F21:F21)</f>
        <v>1.46</v>
      </c>
    </row>
    <row r="23" spans="1:8" ht="15.75" thickBot="1">
      <c r="A23" s="104"/>
      <c r="B23" s="2180" t="s">
        <v>55</v>
      </c>
      <c r="C23" s="2180"/>
      <c r="D23" s="2180"/>
      <c r="E23" s="2180"/>
      <c r="F23" s="105">
        <f>F19+F22</f>
        <v>5.62</v>
      </c>
    </row>
    <row r="24" spans="1:8" ht="15.75" thickBot="1">
      <c r="A24" s="923"/>
      <c r="B24" s="924"/>
      <c r="C24" s="922"/>
      <c r="D24" s="921"/>
      <c r="E24" s="529"/>
      <c r="F24" s="529"/>
    </row>
    <row r="25" spans="1:8" ht="15.75" customHeight="1">
      <c r="A25" s="419" t="s">
        <v>1488</v>
      </c>
      <c r="B25" s="798" t="s">
        <v>2392</v>
      </c>
      <c r="C25" s="428" t="s">
        <v>56</v>
      </c>
      <c r="D25" s="160"/>
      <c r="E25" s="161"/>
      <c r="F25" s="240"/>
    </row>
    <row r="26" spans="1:8" ht="15" customHeight="1">
      <c r="A26" s="2164" t="s">
        <v>2393</v>
      </c>
      <c r="B26" s="2165"/>
      <c r="C26" s="2165"/>
      <c r="D26" s="2165"/>
      <c r="E26" s="2165"/>
      <c r="F26" s="2166"/>
    </row>
    <row r="27" spans="1:8" ht="25.5">
      <c r="A27" s="254"/>
      <c r="B27" s="429" t="s">
        <v>58</v>
      </c>
      <c r="C27" s="430" t="s">
        <v>51</v>
      </c>
      <c r="D27" s="431" t="s">
        <v>52</v>
      </c>
      <c r="E27" s="432" t="s">
        <v>64</v>
      </c>
      <c r="F27" s="433" t="s">
        <v>54</v>
      </c>
      <c r="H27" s="457"/>
    </row>
    <row r="28" spans="1:8" ht="25.5">
      <c r="A28" s="421">
        <v>88239</v>
      </c>
      <c r="B28" s="204" t="s">
        <v>405</v>
      </c>
      <c r="C28" s="340" t="s">
        <v>59</v>
      </c>
      <c r="D28" s="436">
        <v>0.123</v>
      </c>
      <c r="E28" s="202">
        <v>16.3</v>
      </c>
      <c r="F28" s="1619">
        <f>TRUNC((D28*E28),2)</f>
        <v>2</v>
      </c>
    </row>
    <row r="29" spans="1:8" ht="25.5">
      <c r="A29" s="421">
        <v>88262</v>
      </c>
      <c r="B29" s="204" t="s">
        <v>389</v>
      </c>
      <c r="C29" s="340" t="s">
        <v>59</v>
      </c>
      <c r="D29" s="436">
        <v>7.4999999999999997E-2</v>
      </c>
      <c r="E29" s="202">
        <v>19.649999999999999</v>
      </c>
      <c r="F29" s="1619">
        <f>TRUNC((D29*E29),2)</f>
        <v>1.47</v>
      </c>
    </row>
    <row r="30" spans="1:8">
      <c r="A30" s="1620">
        <v>88309</v>
      </c>
      <c r="B30" s="204" t="s">
        <v>104</v>
      </c>
      <c r="C30" s="340" t="s">
        <v>59</v>
      </c>
      <c r="D30" s="436">
        <v>0.02</v>
      </c>
      <c r="E30" s="202">
        <v>19.86</v>
      </c>
      <c r="F30" s="1619">
        <f>TRUNC((D30*E30),2)</f>
        <v>0.39</v>
      </c>
    </row>
    <row r="31" spans="1:8">
      <c r="A31" s="1620">
        <v>88316</v>
      </c>
      <c r="B31" s="204" t="s">
        <v>68</v>
      </c>
      <c r="C31" s="340" t="s">
        <v>59</v>
      </c>
      <c r="D31" s="436">
        <v>0.06</v>
      </c>
      <c r="E31" s="202">
        <v>15.65</v>
      </c>
      <c r="F31" s="1619">
        <f>TRUNC((D31*E31),2)</f>
        <v>0.93</v>
      </c>
    </row>
    <row r="32" spans="1:8">
      <c r="A32" s="1621"/>
      <c r="B32" s="1025"/>
      <c r="C32" s="340" t="s">
        <v>43</v>
      </c>
      <c r="D32" s="437" t="s">
        <v>43</v>
      </c>
      <c r="E32" s="438" t="s">
        <v>60</v>
      </c>
      <c r="F32" s="1622">
        <f>SUM(F28:F31)</f>
        <v>4.79</v>
      </c>
    </row>
    <row r="33" spans="1:6" ht="25.5">
      <c r="A33" s="1621"/>
      <c r="B33" s="1623" t="s">
        <v>95</v>
      </c>
      <c r="C33" s="370" t="s">
        <v>51</v>
      </c>
      <c r="D33" s="441" t="s">
        <v>52</v>
      </c>
      <c r="E33" s="442" t="s">
        <v>64</v>
      </c>
      <c r="F33" s="1622" t="s">
        <v>54</v>
      </c>
    </row>
    <row r="34" spans="1:6" ht="43.5" customHeight="1">
      <c r="A34" s="421">
        <v>102475</v>
      </c>
      <c r="B34" s="204" t="s">
        <v>2394</v>
      </c>
      <c r="C34" s="340" t="s">
        <v>49</v>
      </c>
      <c r="D34" s="443">
        <v>0.01</v>
      </c>
      <c r="E34" s="223">
        <v>395.67</v>
      </c>
      <c r="F34" s="1619">
        <f>TRUNC((D34*E34),2)</f>
        <v>3.95</v>
      </c>
    </row>
    <row r="35" spans="1:6" ht="67.5" customHeight="1">
      <c r="A35" s="1620">
        <v>92915</v>
      </c>
      <c r="B35" s="204" t="s">
        <v>2395</v>
      </c>
      <c r="C35" s="340" t="s">
        <v>101</v>
      </c>
      <c r="D35" s="443">
        <v>0.72</v>
      </c>
      <c r="E35" s="223">
        <v>19.12</v>
      </c>
      <c r="F35" s="1619">
        <f>TRUNC((D35*E35),2)</f>
        <v>13.76</v>
      </c>
    </row>
    <row r="36" spans="1:6">
      <c r="A36" s="1620">
        <v>5069</v>
      </c>
      <c r="B36" s="204" t="s">
        <v>2396</v>
      </c>
      <c r="C36" s="340" t="s">
        <v>101</v>
      </c>
      <c r="D36" s="443">
        <v>0.01</v>
      </c>
      <c r="E36" s="223">
        <v>16.329999999999998</v>
      </c>
      <c r="F36" s="1619">
        <f>TRUNC((D36*E36),2)</f>
        <v>0.16</v>
      </c>
    </row>
    <row r="37" spans="1:6" ht="25.5">
      <c r="A37" s="1620">
        <v>6189</v>
      </c>
      <c r="B37" s="204" t="s">
        <v>2397</v>
      </c>
      <c r="C37" s="340" t="s">
        <v>56</v>
      </c>
      <c r="D37" s="443">
        <v>0.22189999999999999</v>
      </c>
      <c r="E37" s="223">
        <v>12.37</v>
      </c>
      <c r="F37" s="1619">
        <f>TRUNC((D37*E37),2)</f>
        <v>2.74</v>
      </c>
    </row>
    <row r="38" spans="1:6" ht="15.75" thickBot="1">
      <c r="A38" s="206"/>
      <c r="B38" s="369"/>
      <c r="C38" s="446"/>
      <c r="D38" s="447"/>
      <c r="E38" s="448" t="s">
        <v>60</v>
      </c>
      <c r="F38" s="405">
        <f>SUM(F34:F37)</f>
        <v>20.61</v>
      </c>
    </row>
    <row r="39" spans="1:6" ht="15.75" thickBot="1">
      <c r="A39" s="1595"/>
      <c r="B39" s="2100" t="s">
        <v>55</v>
      </c>
      <c r="C39" s="2100"/>
      <c r="D39" s="2100"/>
      <c r="E39" s="2100"/>
      <c r="F39" s="1624">
        <f>F32+F38</f>
        <v>25.4</v>
      </c>
    </row>
    <row r="40" spans="1:6" ht="3" customHeight="1" thickBot="1"/>
    <row r="41" spans="1:6" ht="42.75" customHeight="1" thickBot="1">
      <c r="A41" s="2113" t="s">
        <v>136</v>
      </c>
      <c r="B41" s="2114"/>
      <c r="C41" s="2002" t="s">
        <v>116</v>
      </c>
      <c r="D41" s="2002"/>
      <c r="E41" s="2002"/>
      <c r="F41" s="2003"/>
    </row>
  </sheetData>
  <mergeCells count="11">
    <mergeCell ref="B39:E39"/>
    <mergeCell ref="A41:B41"/>
    <mergeCell ref="C41:F41"/>
    <mergeCell ref="A26:F26"/>
    <mergeCell ref="D15:E15"/>
    <mergeCell ref="B23:E23"/>
    <mergeCell ref="B3:F3"/>
    <mergeCell ref="B4:F4"/>
    <mergeCell ref="B5:F5"/>
    <mergeCell ref="A14:F14"/>
    <mergeCell ref="A16:F16"/>
  </mergeCells>
  <printOptions horizontalCentered="1"/>
  <pageMargins left="0.51181102362204722" right="0.51181102362204722" top="0.78740157480314965" bottom="0.78740157480314965" header="0.31496062992125984" footer="0.31496062992125984"/>
  <pageSetup paperSize="9" scale="70"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3"/>
  <sheetViews>
    <sheetView topLeftCell="A166" workbookViewId="0">
      <selection activeCell="I174" sqref="I174"/>
    </sheetView>
  </sheetViews>
  <sheetFormatPr defaultRowHeight="15"/>
  <cols>
    <col min="1" max="1" width="23.140625" customWidth="1"/>
    <col min="2" max="2" width="11.5703125" customWidth="1"/>
    <col min="3" max="3" width="17.140625" customWidth="1"/>
    <col min="4" max="4" width="15.85546875" customWidth="1"/>
    <col min="5" max="5" width="31.140625" customWidth="1"/>
    <col min="6" max="6" width="15.85546875" customWidth="1"/>
    <col min="7" max="7" width="14.7109375" customWidth="1"/>
  </cols>
  <sheetData>
    <row r="1" spans="1:7">
      <c r="A1" s="2199" t="s">
        <v>127</v>
      </c>
      <c r="B1" s="2200"/>
      <c r="C1" s="2200"/>
      <c r="D1" s="2200"/>
      <c r="E1" s="2200"/>
      <c r="F1" s="2200"/>
      <c r="G1" s="2201"/>
    </row>
    <row r="2" spans="1:7">
      <c r="A2" s="2202" t="s">
        <v>298</v>
      </c>
      <c r="B2" s="2203"/>
      <c r="C2" s="2203"/>
      <c r="D2" s="2203"/>
      <c r="E2" s="2203"/>
      <c r="F2" s="2203"/>
      <c r="G2" s="2204"/>
    </row>
    <row r="3" spans="1:7">
      <c r="A3" s="2202" t="s">
        <v>284</v>
      </c>
      <c r="B3" s="2203"/>
      <c r="C3" s="2203"/>
      <c r="D3" s="2203"/>
      <c r="E3" s="2203"/>
      <c r="F3" s="2203"/>
      <c r="G3" s="2204"/>
    </row>
    <row r="4" spans="1:7">
      <c r="A4" s="1031"/>
      <c r="B4" s="1032"/>
      <c r="C4" s="1032"/>
      <c r="D4" s="1032"/>
      <c r="E4" s="1032"/>
      <c r="F4" s="1032"/>
      <c r="G4" s="1033"/>
    </row>
    <row r="5" spans="1:7">
      <c r="A5" s="1034" t="s">
        <v>299</v>
      </c>
      <c r="B5" s="2205" t="s">
        <v>611</v>
      </c>
      <c r="C5" s="2205"/>
      <c r="D5" s="2205"/>
      <c r="E5" s="2205"/>
      <c r="F5" s="2205"/>
      <c r="G5" s="1035"/>
    </row>
    <row r="6" spans="1:7">
      <c r="A6" s="1034" t="s">
        <v>300</v>
      </c>
      <c r="B6" s="2206" t="s">
        <v>1712</v>
      </c>
      <c r="C6" s="2206"/>
      <c r="D6" s="2206"/>
      <c r="E6" s="2206"/>
      <c r="F6" s="1036"/>
      <c r="G6" s="1037"/>
    </row>
    <row r="7" spans="1:7">
      <c r="A7" s="1038" t="s">
        <v>301</v>
      </c>
      <c r="B7" s="1039" t="s">
        <v>2198</v>
      </c>
      <c r="C7" s="1039"/>
      <c r="D7" s="1039"/>
      <c r="E7" s="1039"/>
      <c r="F7" s="1040" t="s">
        <v>302</v>
      </c>
      <c r="G7" s="1041" t="s">
        <v>612</v>
      </c>
    </row>
    <row r="8" spans="1:7">
      <c r="A8" s="1038" t="s">
        <v>303</v>
      </c>
      <c r="B8" s="1042" t="s">
        <v>600</v>
      </c>
      <c r="C8" s="1042"/>
      <c r="D8" s="1042"/>
      <c r="E8" s="1039"/>
      <c r="F8" s="1032"/>
      <c r="G8" s="1033"/>
    </row>
    <row r="9" spans="1:7" ht="15.75" thickBot="1">
      <c r="A9" s="1259"/>
      <c r="B9" s="1260"/>
      <c r="C9" s="1260"/>
      <c r="D9" s="1260"/>
      <c r="E9" s="1260"/>
      <c r="F9" s="1260"/>
      <c r="G9" s="1261"/>
    </row>
    <row r="10" spans="1:7" ht="15.75" thickBot="1">
      <c r="A10" s="2207" t="s">
        <v>613</v>
      </c>
      <c r="B10" s="2208"/>
      <c r="C10" s="2208"/>
      <c r="D10" s="2208"/>
      <c r="E10" s="2208"/>
      <c r="F10" s="2208"/>
      <c r="G10" s="2209"/>
    </row>
    <row r="11" spans="1:7" ht="15.75" thickBot="1">
      <c r="A11" s="1043" t="s">
        <v>282</v>
      </c>
      <c r="B11" s="2215" t="s">
        <v>304</v>
      </c>
      <c r="C11" s="2216"/>
      <c r="D11" s="2216"/>
      <c r="E11" s="2216"/>
      <c r="F11" s="2216"/>
      <c r="G11" s="2217"/>
    </row>
    <row r="12" spans="1:7" ht="15.75" thickBot="1">
      <c r="A12" s="1044"/>
      <c r="B12" s="1045"/>
      <c r="C12" s="1045"/>
      <c r="D12" s="1045"/>
      <c r="E12" s="1045"/>
      <c r="F12" s="1045"/>
      <c r="G12" s="1046"/>
    </row>
    <row r="13" spans="1:7" ht="15.75" thickBot="1">
      <c r="A13" s="1043" t="s">
        <v>15</v>
      </c>
      <c r="B13" s="2215" t="s">
        <v>117</v>
      </c>
      <c r="C13" s="2216"/>
      <c r="D13" s="2216"/>
      <c r="E13" s="2216"/>
      <c r="F13" s="2216"/>
      <c r="G13" s="2217"/>
    </row>
    <row r="14" spans="1:7" ht="15.75" thickBot="1">
      <c r="A14" s="1047"/>
      <c r="B14" s="1048"/>
      <c r="C14" s="1048"/>
      <c r="D14" s="1048"/>
      <c r="E14" s="1048"/>
      <c r="F14" s="1048"/>
      <c r="G14" s="1049"/>
    </row>
    <row r="15" spans="1:7" ht="15.75" thickBot="1">
      <c r="A15" s="1043" t="s">
        <v>185</v>
      </c>
      <c r="B15" s="2215" t="s">
        <v>305</v>
      </c>
      <c r="C15" s="2216"/>
      <c r="D15" s="2216"/>
      <c r="E15" s="2216"/>
      <c r="F15" s="2216"/>
      <c r="G15" s="2217"/>
    </row>
    <row r="16" spans="1:7">
      <c r="A16" s="2227" t="s">
        <v>306</v>
      </c>
      <c r="B16" s="2228"/>
      <c r="C16" s="2228"/>
      <c r="D16" s="2228"/>
      <c r="E16" s="2228"/>
      <c r="F16" s="2228"/>
      <c r="G16" s="2229"/>
    </row>
    <row r="17" spans="1:7">
      <c r="A17" s="2230" t="s">
        <v>307</v>
      </c>
      <c r="B17" s="2231"/>
      <c r="C17" s="2231"/>
      <c r="D17" s="2231"/>
      <c r="E17" s="2231"/>
      <c r="F17" s="2231"/>
      <c r="G17" s="2232"/>
    </row>
    <row r="18" spans="1:7">
      <c r="A18" s="2233"/>
      <c r="B18" s="2234"/>
      <c r="C18" s="1050" t="s">
        <v>308</v>
      </c>
      <c r="D18" s="2237" t="s">
        <v>309</v>
      </c>
      <c r="E18" s="2238"/>
      <c r="F18" s="2238"/>
      <c r="G18" s="2239"/>
    </row>
    <row r="19" spans="1:7" ht="24.75" customHeight="1">
      <c r="A19" s="2235"/>
      <c r="B19" s="2236"/>
      <c r="C19" s="1051">
        <f>2.5*5</f>
        <v>12.5</v>
      </c>
      <c r="D19" s="2240" t="s">
        <v>614</v>
      </c>
      <c r="E19" s="2241"/>
      <c r="F19" s="2241"/>
      <c r="G19" s="2242"/>
    </row>
    <row r="20" spans="1:7" ht="15.75" thickBot="1">
      <c r="A20" s="2210" t="s">
        <v>310</v>
      </c>
      <c r="B20" s="2211"/>
      <c r="C20" s="1052">
        <f>SUM(C19:C19)</f>
        <v>12.5</v>
      </c>
      <c r="D20" s="2212"/>
      <c r="E20" s="2213"/>
      <c r="F20" s="2213"/>
      <c r="G20" s="2214"/>
    </row>
    <row r="21" spans="1:7" ht="15.75" thickBot="1">
      <c r="A21" s="1047"/>
      <c r="B21" s="1053"/>
      <c r="C21" s="1054"/>
      <c r="D21" s="1055"/>
      <c r="E21" s="1055"/>
      <c r="F21" s="1055"/>
      <c r="G21" s="1056"/>
    </row>
    <row r="22" spans="1:7" ht="15.75" thickBot="1">
      <c r="A22" s="1043" t="s">
        <v>186</v>
      </c>
      <c r="B22" s="2215" t="s">
        <v>615</v>
      </c>
      <c r="C22" s="2216"/>
      <c r="D22" s="2216"/>
      <c r="E22" s="2216"/>
      <c r="F22" s="2216"/>
      <c r="G22" s="2217"/>
    </row>
    <row r="23" spans="1:7">
      <c r="A23" s="2218" t="s">
        <v>306</v>
      </c>
      <c r="B23" s="2219"/>
      <c r="C23" s="2219"/>
      <c r="D23" s="2219"/>
      <c r="E23" s="2219"/>
      <c r="F23" s="2219"/>
      <c r="G23" s="2220"/>
    </row>
    <row r="24" spans="1:7">
      <c r="A24" s="2221" t="s">
        <v>616</v>
      </c>
      <c r="B24" s="2222"/>
      <c r="C24" s="2222"/>
      <c r="D24" s="2222"/>
      <c r="E24" s="2222"/>
      <c r="F24" s="2222"/>
      <c r="G24" s="2223"/>
    </row>
    <row r="25" spans="1:7" ht="24">
      <c r="A25" s="1057" t="s">
        <v>321</v>
      </c>
      <c r="B25" s="1137" t="s">
        <v>617</v>
      </c>
      <c r="C25" s="1058" t="s">
        <v>330</v>
      </c>
      <c r="D25" s="1137" t="s">
        <v>313</v>
      </c>
      <c r="E25" s="2224" t="s">
        <v>309</v>
      </c>
      <c r="F25" s="2225"/>
      <c r="G25" s="2226"/>
    </row>
    <row r="26" spans="1:7">
      <c r="A26" s="1135" t="s">
        <v>1713</v>
      </c>
      <c r="B26" s="1136">
        <f>69.39+82.84+45.25</f>
        <v>197.48000000000002</v>
      </c>
      <c r="C26" s="1059">
        <v>2</v>
      </c>
      <c r="D26" s="1136">
        <f>B26*C26</f>
        <v>394.96000000000004</v>
      </c>
      <c r="E26" s="2231" t="s">
        <v>618</v>
      </c>
      <c r="F26" s="2231"/>
      <c r="G26" s="2232"/>
    </row>
    <row r="27" spans="1:7" ht="15.75" thickBot="1">
      <c r="A27" s="2255" t="s">
        <v>310</v>
      </c>
      <c r="B27" s="2256"/>
      <c r="C27" s="2257"/>
      <c r="D27" s="1693">
        <f>D26</f>
        <v>394.96000000000004</v>
      </c>
      <c r="E27" s="1262"/>
      <c r="F27" s="1262"/>
      <c r="G27" s="1263"/>
    </row>
    <row r="28" spans="1:7" ht="15.75" thickBot="1">
      <c r="A28" s="1264"/>
      <c r="B28" s="1265"/>
      <c r="C28" s="1265"/>
      <c r="D28" s="1266"/>
      <c r="E28" s="1266"/>
      <c r="F28" s="1266"/>
      <c r="G28" s="1267"/>
    </row>
    <row r="29" spans="1:7" ht="25.5" customHeight="1" thickBot="1">
      <c r="A29" s="1268" t="s">
        <v>187</v>
      </c>
      <c r="B29" s="2258" t="s">
        <v>619</v>
      </c>
      <c r="C29" s="2259"/>
      <c r="D29" s="2259"/>
      <c r="E29" s="2259"/>
      <c r="F29" s="2259"/>
      <c r="G29" s="2260"/>
    </row>
    <row r="30" spans="1:7">
      <c r="A30" s="2218" t="s">
        <v>306</v>
      </c>
      <c r="B30" s="2219"/>
      <c r="C30" s="2219"/>
      <c r="D30" s="2219"/>
      <c r="E30" s="2219"/>
      <c r="F30" s="2219"/>
      <c r="G30" s="2220"/>
    </row>
    <row r="31" spans="1:7">
      <c r="A31" s="2261" t="s">
        <v>616</v>
      </c>
      <c r="B31" s="2262"/>
      <c r="C31" s="2262"/>
      <c r="D31" s="2262"/>
      <c r="E31" s="2262"/>
      <c r="F31" s="2262"/>
      <c r="G31" s="2263"/>
    </row>
    <row r="32" spans="1:7">
      <c r="A32" s="1060" t="s">
        <v>311</v>
      </c>
      <c r="B32" s="2264" t="s">
        <v>312</v>
      </c>
      <c r="C32" s="2265"/>
      <c r="D32" s="1061" t="s">
        <v>313</v>
      </c>
      <c r="E32" s="2264" t="s">
        <v>309</v>
      </c>
      <c r="F32" s="2266"/>
      <c r="G32" s="2267"/>
    </row>
    <row r="33" spans="1:7">
      <c r="A33" s="1062" t="s">
        <v>620</v>
      </c>
      <c r="B33" s="2243" t="s">
        <v>621</v>
      </c>
      <c r="C33" s="2243"/>
      <c r="D33" s="1063">
        <f>4.25*3.2</f>
        <v>13.600000000000001</v>
      </c>
      <c r="E33" s="2244" t="s">
        <v>314</v>
      </c>
      <c r="F33" s="2245"/>
      <c r="G33" s="2246"/>
    </row>
    <row r="34" spans="1:7">
      <c r="A34" s="1064" t="s">
        <v>622</v>
      </c>
      <c r="B34" s="2253" t="s">
        <v>623</v>
      </c>
      <c r="C34" s="2254"/>
      <c r="D34" s="1065">
        <f>3*3</f>
        <v>9</v>
      </c>
      <c r="E34" s="2247"/>
      <c r="F34" s="2248"/>
      <c r="G34" s="2249"/>
    </row>
    <row r="35" spans="1:7">
      <c r="A35" s="1064" t="s">
        <v>624</v>
      </c>
      <c r="B35" s="2253" t="s">
        <v>625</v>
      </c>
      <c r="C35" s="2254"/>
      <c r="D35" s="1065">
        <f>(4.25*5.5)</f>
        <v>23.375</v>
      </c>
      <c r="E35" s="2247"/>
      <c r="F35" s="2248"/>
      <c r="G35" s="2249"/>
    </row>
    <row r="36" spans="1:7">
      <c r="A36" s="1064" t="s">
        <v>626</v>
      </c>
      <c r="B36" s="2253" t="s">
        <v>315</v>
      </c>
      <c r="C36" s="2254"/>
      <c r="D36" s="1065">
        <f>(4.25*5.5)</f>
        <v>23.375</v>
      </c>
      <c r="E36" s="2250"/>
      <c r="F36" s="2251"/>
      <c r="G36" s="2252"/>
    </row>
    <row r="37" spans="1:7" ht="15.75" thickBot="1">
      <c r="A37" s="1269"/>
      <c r="B37" s="1270"/>
      <c r="C37" s="1271" t="s">
        <v>310</v>
      </c>
      <c r="D37" s="1066">
        <f>SUM(D33:D36)</f>
        <v>69.349999999999994</v>
      </c>
      <c r="E37" s="1067"/>
      <c r="F37" s="1068"/>
      <c r="G37" s="1069"/>
    </row>
    <row r="38" spans="1:7" ht="15.75" thickBot="1">
      <c r="A38" s="1070"/>
      <c r="B38" s="1071"/>
      <c r="C38" s="1072"/>
      <c r="D38" s="1073"/>
      <c r="E38" s="1073"/>
      <c r="F38" s="1073"/>
      <c r="G38" s="1074"/>
    </row>
    <row r="39" spans="1:7" ht="15.75" thickBot="1">
      <c r="A39" s="1043" t="s">
        <v>188</v>
      </c>
      <c r="B39" s="2215" t="s">
        <v>316</v>
      </c>
      <c r="C39" s="2216"/>
      <c r="D39" s="2216"/>
      <c r="E39" s="2216"/>
      <c r="F39" s="2216"/>
      <c r="G39" s="2217"/>
    </row>
    <row r="40" spans="1:7">
      <c r="A40" s="2227" t="s">
        <v>306</v>
      </c>
      <c r="B40" s="2228"/>
      <c r="C40" s="2228"/>
      <c r="D40" s="2228"/>
      <c r="E40" s="2228"/>
      <c r="F40" s="2228"/>
      <c r="G40" s="2229"/>
    </row>
    <row r="41" spans="1:7" ht="15.75" thickBot="1">
      <c r="A41" s="2270" t="s">
        <v>317</v>
      </c>
      <c r="B41" s="2271"/>
      <c r="C41" s="2271"/>
      <c r="D41" s="2271"/>
      <c r="E41" s="2271"/>
      <c r="F41" s="2271"/>
      <c r="G41" s="2272"/>
    </row>
    <row r="42" spans="1:7" ht="15.75" thickBot="1">
      <c r="A42" s="1070"/>
      <c r="B42" s="1071"/>
      <c r="C42" s="1072"/>
      <c r="D42" s="1073"/>
      <c r="E42" s="1073"/>
      <c r="F42" s="1073"/>
      <c r="G42" s="1074"/>
    </row>
    <row r="43" spans="1:7" ht="15.75" thickBot="1">
      <c r="A43" s="1043" t="s">
        <v>189</v>
      </c>
      <c r="B43" s="2215" t="s">
        <v>318</v>
      </c>
      <c r="C43" s="2216"/>
      <c r="D43" s="2216"/>
      <c r="E43" s="2216"/>
      <c r="F43" s="2216"/>
      <c r="G43" s="2217"/>
    </row>
    <row r="44" spans="1:7">
      <c r="A44" s="2227" t="s">
        <v>306</v>
      </c>
      <c r="B44" s="2228"/>
      <c r="C44" s="2228"/>
      <c r="D44" s="2228"/>
      <c r="E44" s="2228"/>
      <c r="F44" s="2228"/>
      <c r="G44" s="2229"/>
    </row>
    <row r="45" spans="1:7" ht="15.75" thickBot="1">
      <c r="A45" s="2270" t="s">
        <v>317</v>
      </c>
      <c r="B45" s="2271"/>
      <c r="C45" s="2271"/>
      <c r="D45" s="2271"/>
      <c r="E45" s="2271"/>
      <c r="F45" s="2271"/>
      <c r="G45" s="2272"/>
    </row>
    <row r="46" spans="1:7" ht="15.75" thickBot="1">
      <c r="A46" s="1070"/>
      <c r="B46" s="1071"/>
      <c r="C46" s="1072"/>
      <c r="D46" s="1073"/>
      <c r="E46" s="1073"/>
      <c r="F46" s="1073"/>
      <c r="G46" s="1074"/>
    </row>
    <row r="47" spans="1:7" ht="15.75" thickBot="1">
      <c r="A47" s="1043" t="s">
        <v>190</v>
      </c>
      <c r="B47" s="2215" t="s">
        <v>210</v>
      </c>
      <c r="C47" s="2216"/>
      <c r="D47" s="2216"/>
      <c r="E47" s="2216"/>
      <c r="F47" s="2216"/>
      <c r="G47" s="2217"/>
    </row>
    <row r="48" spans="1:7">
      <c r="A48" s="2227" t="s">
        <v>306</v>
      </c>
      <c r="B48" s="2228"/>
      <c r="C48" s="2228"/>
      <c r="D48" s="2228"/>
      <c r="E48" s="2228"/>
      <c r="F48" s="2228"/>
      <c r="G48" s="2229"/>
    </row>
    <row r="49" spans="1:7">
      <c r="A49" s="2261" t="s">
        <v>616</v>
      </c>
      <c r="B49" s="2262"/>
      <c r="C49" s="2262"/>
      <c r="D49" s="2262"/>
      <c r="E49" s="2262"/>
      <c r="F49" s="2262"/>
      <c r="G49" s="2263"/>
    </row>
    <row r="50" spans="1:7">
      <c r="A50" s="1060" t="s">
        <v>321</v>
      </c>
      <c r="B50" s="2264" t="s">
        <v>617</v>
      </c>
      <c r="C50" s="2265"/>
      <c r="D50" s="1061" t="s">
        <v>313</v>
      </c>
      <c r="E50" s="2264" t="s">
        <v>309</v>
      </c>
      <c r="F50" s="2266"/>
      <c r="G50" s="2267"/>
    </row>
    <row r="51" spans="1:7">
      <c r="A51" s="1075" t="s">
        <v>1713</v>
      </c>
      <c r="B51" s="2268">
        <f>69.39+82.84+45.25</f>
        <v>197.48000000000002</v>
      </c>
      <c r="C51" s="2269"/>
      <c r="D51" s="1694">
        <v>1570</v>
      </c>
      <c r="E51" s="2231" t="s">
        <v>1624</v>
      </c>
      <c r="F51" s="2231"/>
      <c r="G51" s="2232"/>
    </row>
    <row r="52" spans="1:7" ht="15.75" thickBot="1">
      <c r="A52" s="1076"/>
      <c r="B52" s="1077"/>
      <c r="C52" s="1077"/>
      <c r="D52" s="1077"/>
      <c r="E52" s="1077"/>
      <c r="F52" s="1077"/>
      <c r="G52" s="1078"/>
    </row>
    <row r="53" spans="1:7" ht="15.75" thickBot="1">
      <c r="A53" s="1043" t="s">
        <v>191</v>
      </c>
      <c r="B53" s="2215" t="s">
        <v>319</v>
      </c>
      <c r="C53" s="2216"/>
      <c r="D53" s="2216"/>
      <c r="E53" s="2216"/>
      <c r="F53" s="2216"/>
      <c r="G53" s="2217"/>
    </row>
    <row r="54" spans="1:7">
      <c r="A54" s="2218" t="s">
        <v>306</v>
      </c>
      <c r="B54" s="2219"/>
      <c r="C54" s="2219"/>
      <c r="D54" s="2219"/>
      <c r="E54" s="2219"/>
      <c r="F54" s="2219"/>
      <c r="G54" s="2220"/>
    </row>
    <row r="55" spans="1:7" ht="15.75" thickBot="1">
      <c r="A55" s="2270" t="s">
        <v>320</v>
      </c>
      <c r="B55" s="2271"/>
      <c r="C55" s="2271"/>
      <c r="D55" s="2271"/>
      <c r="E55" s="2271"/>
      <c r="F55" s="2271"/>
      <c r="G55" s="2272"/>
    </row>
    <row r="56" spans="1:7" ht="15.75" thickBot="1">
      <c r="A56" s="1079"/>
      <c r="B56" s="1080"/>
      <c r="C56" s="1072"/>
      <c r="D56" s="1073"/>
      <c r="E56" s="1073"/>
      <c r="F56" s="1073"/>
      <c r="G56" s="1074"/>
    </row>
    <row r="57" spans="1:7" ht="15.75" thickBot="1">
      <c r="A57" s="1043" t="s">
        <v>283</v>
      </c>
      <c r="B57" s="2215" t="s">
        <v>1625</v>
      </c>
      <c r="C57" s="2216"/>
      <c r="D57" s="2216"/>
      <c r="E57" s="2216"/>
      <c r="F57" s="2216"/>
      <c r="G57" s="2217"/>
    </row>
    <row r="58" spans="1:7" ht="15.75" thickBot="1">
      <c r="A58" s="1043" t="s">
        <v>17</v>
      </c>
      <c r="B58" s="2215" t="s">
        <v>629</v>
      </c>
      <c r="C58" s="2216"/>
      <c r="D58" s="2216"/>
      <c r="E58" s="2216"/>
      <c r="F58" s="2216"/>
      <c r="G58" s="2217"/>
    </row>
    <row r="59" spans="1:7">
      <c r="A59" s="2283" t="s">
        <v>306</v>
      </c>
      <c r="B59" s="2284"/>
      <c r="C59" s="2284"/>
      <c r="D59" s="2284"/>
      <c r="E59" s="2284"/>
      <c r="F59" s="2284"/>
      <c r="G59" s="2285"/>
    </row>
    <row r="60" spans="1:7">
      <c r="A60" s="2273" t="s">
        <v>328</v>
      </c>
      <c r="B60" s="2274"/>
      <c r="C60" s="2274"/>
      <c r="D60" s="2274"/>
      <c r="E60" s="2274"/>
      <c r="F60" s="2274"/>
      <c r="G60" s="2275"/>
    </row>
    <row r="61" spans="1:7">
      <c r="A61" s="1057" t="s">
        <v>311</v>
      </c>
      <c r="B61" s="1137" t="s">
        <v>329</v>
      </c>
      <c r="C61" s="1137" t="s">
        <v>330</v>
      </c>
      <c r="D61" s="1137" t="s">
        <v>324</v>
      </c>
      <c r="E61" s="1137" t="s">
        <v>281</v>
      </c>
      <c r="F61" s="2276" t="s">
        <v>331</v>
      </c>
      <c r="G61" s="2277"/>
    </row>
    <row r="62" spans="1:7">
      <c r="A62" s="1081" t="s">
        <v>630</v>
      </c>
      <c r="B62" s="1133">
        <v>1.5</v>
      </c>
      <c r="C62" s="1138">
        <v>2.4500000000000002</v>
      </c>
      <c r="D62" s="1138">
        <f>ROUNDUP(B62*C62,2)</f>
        <v>3.6799999999999997</v>
      </c>
      <c r="E62" s="1138">
        <v>1</v>
      </c>
      <c r="F62" s="2278">
        <f>E62*D62</f>
        <v>3.6799999999999997</v>
      </c>
      <c r="G62" s="2279"/>
    </row>
    <row r="63" spans="1:7" ht="15.75" thickBot="1">
      <c r="A63" s="2280" t="s">
        <v>325</v>
      </c>
      <c r="B63" s="2281"/>
      <c r="C63" s="2281"/>
      <c r="D63" s="2281"/>
      <c r="E63" s="2281"/>
      <c r="F63" s="2282"/>
      <c r="G63" s="1082">
        <f>ROUNDUP(F62,2)</f>
        <v>3.68</v>
      </c>
    </row>
    <row r="64" spans="1:7" ht="15.75" thickBot="1">
      <c r="A64" s="1083"/>
      <c r="B64" s="1084"/>
      <c r="C64" s="1085"/>
      <c r="D64" s="1085"/>
      <c r="E64" s="1085"/>
      <c r="F64" s="1085"/>
      <c r="G64" s="1086"/>
    </row>
    <row r="65" spans="1:7" ht="15.75" thickBot="1">
      <c r="A65" s="1043" t="s">
        <v>18</v>
      </c>
      <c r="B65" s="2215" t="s">
        <v>631</v>
      </c>
      <c r="C65" s="2216"/>
      <c r="D65" s="2216"/>
      <c r="E65" s="2216"/>
      <c r="F65" s="2216"/>
      <c r="G65" s="2217"/>
    </row>
    <row r="66" spans="1:7">
      <c r="A66" s="2283" t="s">
        <v>306</v>
      </c>
      <c r="B66" s="2284"/>
      <c r="C66" s="2284"/>
      <c r="D66" s="2284"/>
      <c r="E66" s="2284"/>
      <c r="F66" s="2284"/>
      <c r="G66" s="2285"/>
    </row>
    <row r="67" spans="1:7">
      <c r="A67" s="2273" t="s">
        <v>328</v>
      </c>
      <c r="B67" s="2274"/>
      <c r="C67" s="2274"/>
      <c r="D67" s="2274"/>
      <c r="E67" s="2274"/>
      <c r="F67" s="2274"/>
      <c r="G67" s="2275"/>
    </row>
    <row r="68" spans="1:7">
      <c r="A68" s="1057" t="s">
        <v>311</v>
      </c>
      <c r="B68" s="1137" t="s">
        <v>329</v>
      </c>
      <c r="C68" s="1137" t="s">
        <v>330</v>
      </c>
      <c r="D68" s="1137" t="s">
        <v>324</v>
      </c>
      <c r="E68" s="1137" t="s">
        <v>281</v>
      </c>
      <c r="F68" s="2276" t="s">
        <v>331</v>
      </c>
      <c r="G68" s="2277"/>
    </row>
    <row r="69" spans="1:7">
      <c r="A69" s="1081" t="s">
        <v>632</v>
      </c>
      <c r="B69" s="1133">
        <v>3.9</v>
      </c>
      <c r="C69" s="1138">
        <v>2.4500000000000002</v>
      </c>
      <c r="D69" s="1138">
        <f>ROUNDUP(B69*C69,2)</f>
        <v>9.56</v>
      </c>
      <c r="E69" s="1138">
        <v>1</v>
      </c>
      <c r="F69" s="2278">
        <f>E69*D69</f>
        <v>9.56</v>
      </c>
      <c r="G69" s="2279"/>
    </row>
    <row r="70" spans="1:7" ht="15.75" thickBot="1">
      <c r="A70" s="2280" t="s">
        <v>325</v>
      </c>
      <c r="B70" s="2281"/>
      <c r="C70" s="2281"/>
      <c r="D70" s="2281"/>
      <c r="E70" s="2281"/>
      <c r="F70" s="2282"/>
      <c r="G70" s="1082">
        <f>ROUNDUP(F69,2)</f>
        <v>9.56</v>
      </c>
    </row>
    <row r="71" spans="1:7" ht="15.75" thickBot="1">
      <c r="A71" s="1083"/>
      <c r="B71" s="1084"/>
      <c r="C71" s="1085"/>
      <c r="D71" s="1085"/>
      <c r="E71" s="1085"/>
      <c r="F71" s="1085"/>
      <c r="G71" s="1086"/>
    </row>
    <row r="72" spans="1:7" ht="15.75" thickBot="1">
      <c r="A72" s="1043" t="s">
        <v>322</v>
      </c>
      <c r="B72" s="2215" t="s">
        <v>640</v>
      </c>
      <c r="C72" s="2216"/>
      <c r="D72" s="2216"/>
      <c r="E72" s="2216"/>
      <c r="F72" s="2216"/>
      <c r="G72" s="2217"/>
    </row>
    <row r="73" spans="1:7" ht="15.75" thickBot="1">
      <c r="A73" s="1043" t="s">
        <v>19</v>
      </c>
      <c r="B73" s="2215" t="s">
        <v>641</v>
      </c>
      <c r="C73" s="2216"/>
      <c r="D73" s="2216"/>
      <c r="E73" s="2216"/>
      <c r="F73" s="2216"/>
      <c r="G73" s="2217"/>
    </row>
    <row r="74" spans="1:7">
      <c r="A74" s="2286" t="s">
        <v>306</v>
      </c>
      <c r="B74" s="2287"/>
      <c r="C74" s="2287"/>
      <c r="D74" s="2287"/>
      <c r="E74" s="2287"/>
      <c r="F74" s="2287"/>
      <c r="G74" s="2288"/>
    </row>
    <row r="75" spans="1:7">
      <c r="A75" s="2289" t="s">
        <v>642</v>
      </c>
      <c r="B75" s="2290"/>
      <c r="C75" s="2290"/>
      <c r="D75" s="2290"/>
      <c r="E75" s="2290"/>
      <c r="F75" s="2290"/>
      <c r="G75" s="2291"/>
    </row>
    <row r="76" spans="1:7">
      <c r="A76" s="2292" t="s">
        <v>311</v>
      </c>
      <c r="B76" s="2293"/>
      <c r="C76" s="1087" t="s">
        <v>604</v>
      </c>
      <c r="D76" s="1087" t="s">
        <v>331</v>
      </c>
      <c r="E76" s="2294" t="s">
        <v>309</v>
      </c>
      <c r="F76" s="2295"/>
      <c r="G76" s="2296"/>
    </row>
    <row r="77" spans="1:7" ht="24" customHeight="1">
      <c r="A77" s="2297" t="s">
        <v>1714</v>
      </c>
      <c r="B77" s="2298"/>
      <c r="C77" s="1088" t="s">
        <v>2493</v>
      </c>
      <c r="D77" s="1088">
        <f>799.23+13.7+77.85</f>
        <v>890.78000000000009</v>
      </c>
      <c r="E77" s="2299" t="s">
        <v>1715</v>
      </c>
      <c r="F77" s="2300"/>
      <c r="G77" s="2301"/>
    </row>
    <row r="78" spans="1:7" ht="15.75" thickBot="1">
      <c r="A78" s="2280" t="s">
        <v>325</v>
      </c>
      <c r="B78" s="2281"/>
      <c r="C78" s="2282"/>
      <c r="D78" s="1089">
        <f>SUM(D77)</f>
        <v>890.78000000000009</v>
      </c>
      <c r="E78" s="2302"/>
      <c r="F78" s="2303"/>
      <c r="G78" s="2304"/>
    </row>
    <row r="79" spans="1:7" ht="15.75" thickBot="1">
      <c r="A79" s="1272"/>
      <c r="B79" s="1273"/>
      <c r="C79" s="1273"/>
      <c r="D79" s="1273"/>
      <c r="E79" s="1273"/>
      <c r="F79" s="1273"/>
      <c r="G79" s="1274"/>
    </row>
    <row r="80" spans="1:7" ht="15.75" thickBot="1">
      <c r="A80" s="1043" t="s">
        <v>1626</v>
      </c>
      <c r="B80" s="2215" t="s">
        <v>1717</v>
      </c>
      <c r="C80" s="2216"/>
      <c r="D80" s="2216"/>
      <c r="E80" s="2216"/>
      <c r="F80" s="2216"/>
      <c r="G80" s="2217"/>
    </row>
    <row r="81" spans="1:7">
      <c r="A81" s="2286" t="s">
        <v>306</v>
      </c>
      <c r="B81" s="2287"/>
      <c r="C81" s="2287"/>
      <c r="D81" s="2287"/>
      <c r="E81" s="2287"/>
      <c r="F81" s="2287"/>
      <c r="G81" s="2288"/>
    </row>
    <row r="82" spans="1:7">
      <c r="A82" s="2289" t="s">
        <v>642</v>
      </c>
      <c r="B82" s="2290"/>
      <c r="C82" s="2290"/>
      <c r="D82" s="2290"/>
      <c r="E82" s="2290"/>
      <c r="F82" s="2290"/>
      <c r="G82" s="2291"/>
    </row>
    <row r="83" spans="1:7">
      <c r="A83" s="2292" t="s">
        <v>311</v>
      </c>
      <c r="B83" s="2293"/>
      <c r="C83" s="1087" t="s">
        <v>603</v>
      </c>
      <c r="D83" s="1087" t="s">
        <v>337</v>
      </c>
      <c r="E83" s="2294" t="s">
        <v>309</v>
      </c>
      <c r="F83" s="2295"/>
      <c r="G83" s="2296"/>
    </row>
    <row r="84" spans="1:7" ht="24" customHeight="1">
      <c r="A84" s="2297" t="s">
        <v>2492</v>
      </c>
      <c r="B84" s="2298"/>
      <c r="C84" s="1088" t="s">
        <v>1718</v>
      </c>
      <c r="D84" s="1088">
        <f>77.35+43.13+74.39</f>
        <v>194.87</v>
      </c>
      <c r="E84" s="2299"/>
      <c r="F84" s="2300"/>
      <c r="G84" s="2301"/>
    </row>
    <row r="85" spans="1:7" ht="15.75" thickBot="1">
      <c r="A85" s="2280" t="s">
        <v>325</v>
      </c>
      <c r="B85" s="2281"/>
      <c r="C85" s="2282"/>
      <c r="D85" s="1089">
        <f>SUM(D84)</f>
        <v>194.87</v>
      </c>
      <c r="E85" s="2302"/>
      <c r="F85" s="2303"/>
      <c r="G85" s="2304"/>
    </row>
    <row r="86" spans="1:7" ht="15.75" thickBot="1">
      <c r="A86" s="1275"/>
      <c r="B86" s="1276"/>
      <c r="C86" s="1276"/>
      <c r="D86" s="1277"/>
      <c r="E86" s="1278"/>
      <c r="F86" s="1278"/>
      <c r="G86" s="1279"/>
    </row>
    <row r="87" spans="1:7" ht="15.75" thickBot="1">
      <c r="A87" s="1043" t="s">
        <v>71</v>
      </c>
      <c r="B87" s="2215" t="s">
        <v>643</v>
      </c>
      <c r="C87" s="2216"/>
      <c r="D87" s="2216"/>
      <c r="E87" s="2216"/>
      <c r="F87" s="2216"/>
      <c r="G87" s="2217"/>
    </row>
    <row r="88" spans="1:7">
      <c r="A88" s="2305" t="s">
        <v>306</v>
      </c>
      <c r="B88" s="2306"/>
      <c r="C88" s="2306"/>
      <c r="D88" s="2306"/>
      <c r="E88" s="2306"/>
      <c r="F88" s="2306"/>
      <c r="G88" s="2307"/>
    </row>
    <row r="89" spans="1:7">
      <c r="A89" s="2289" t="s">
        <v>642</v>
      </c>
      <c r="B89" s="2290"/>
      <c r="C89" s="2290"/>
      <c r="D89" s="2290"/>
      <c r="E89" s="2290"/>
      <c r="F89" s="2290"/>
      <c r="G89" s="2291"/>
    </row>
    <row r="90" spans="1:7">
      <c r="A90" s="1093" t="s">
        <v>311</v>
      </c>
      <c r="B90" s="1087" t="s">
        <v>308</v>
      </c>
      <c r="C90" s="1087" t="s">
        <v>327</v>
      </c>
      <c r="D90" s="1087" t="s">
        <v>331</v>
      </c>
      <c r="E90" s="2294" t="s">
        <v>309</v>
      </c>
      <c r="F90" s="2295"/>
      <c r="G90" s="2296"/>
    </row>
    <row r="91" spans="1:7" ht="24">
      <c r="A91" s="1081" t="s">
        <v>644</v>
      </c>
      <c r="B91" s="1133" t="s">
        <v>1719</v>
      </c>
      <c r="C91" s="1133">
        <f>34.36+98.66+15.52</f>
        <v>148.54</v>
      </c>
      <c r="D91" s="1138">
        <f>ROUNDUP(C91,2)</f>
        <v>148.54</v>
      </c>
      <c r="E91" s="2308" t="s">
        <v>645</v>
      </c>
      <c r="F91" s="2309"/>
      <c r="G91" s="2310"/>
    </row>
    <row r="92" spans="1:7" ht="15.75" thickBot="1">
      <c r="A92" s="2280" t="s">
        <v>325</v>
      </c>
      <c r="B92" s="2281"/>
      <c r="C92" s="2281"/>
      <c r="D92" s="1089">
        <f>ROUNDUP(D91,2)</f>
        <v>148.54</v>
      </c>
      <c r="E92" s="2302"/>
      <c r="F92" s="2303"/>
      <c r="G92" s="2304"/>
    </row>
    <row r="93" spans="1:7" ht="15.75" thickBot="1">
      <c r="A93" s="1090"/>
      <c r="B93" s="1091"/>
      <c r="C93" s="1091"/>
      <c r="D93" s="1091"/>
      <c r="E93" s="1091"/>
      <c r="F93" s="1091"/>
      <c r="G93" s="1092"/>
    </row>
    <row r="94" spans="1:7" ht="15.75" thickBot="1">
      <c r="A94" s="1043" t="s">
        <v>168</v>
      </c>
      <c r="B94" s="2215" t="s">
        <v>646</v>
      </c>
      <c r="C94" s="2216"/>
      <c r="D94" s="2216"/>
      <c r="E94" s="2216"/>
      <c r="F94" s="2216"/>
      <c r="G94" s="2217"/>
    </row>
    <row r="95" spans="1:7">
      <c r="A95" s="2305" t="s">
        <v>306</v>
      </c>
      <c r="B95" s="2306"/>
      <c r="C95" s="2306"/>
      <c r="D95" s="2306"/>
      <c r="E95" s="2306"/>
      <c r="F95" s="2306"/>
      <c r="G95" s="2307"/>
    </row>
    <row r="96" spans="1:7">
      <c r="A96" s="2289" t="s">
        <v>642</v>
      </c>
      <c r="B96" s="2290"/>
      <c r="C96" s="2290"/>
      <c r="D96" s="2290"/>
      <c r="E96" s="2290"/>
      <c r="F96" s="2290"/>
      <c r="G96" s="2291"/>
    </row>
    <row r="97" spans="1:7">
      <c r="A97" s="1093" t="s">
        <v>311</v>
      </c>
      <c r="B97" s="1087" t="s">
        <v>308</v>
      </c>
      <c r="C97" s="1087" t="s">
        <v>327</v>
      </c>
      <c r="D97" s="1087" t="s">
        <v>331</v>
      </c>
      <c r="E97" s="2294" t="s">
        <v>309</v>
      </c>
      <c r="F97" s="2295"/>
      <c r="G97" s="2296"/>
    </row>
    <row r="98" spans="1:7">
      <c r="A98" s="1081" t="s">
        <v>647</v>
      </c>
      <c r="B98" s="1133" t="s">
        <v>1720</v>
      </c>
      <c r="C98" s="1133">
        <f>34.36+98.66</f>
        <v>133.01999999999998</v>
      </c>
      <c r="D98" s="1138">
        <f>ROUNDUP(C98,2)</f>
        <v>133.02000000000001</v>
      </c>
      <c r="E98" s="2308" t="s">
        <v>645</v>
      </c>
      <c r="F98" s="2309"/>
      <c r="G98" s="2310"/>
    </row>
    <row r="99" spans="1:7" ht="15.75" thickBot="1">
      <c r="A99" s="2280" t="s">
        <v>325</v>
      </c>
      <c r="B99" s="2281"/>
      <c r="C99" s="2281"/>
      <c r="D99" s="1089">
        <f>ROUNDUP(D98,2)</f>
        <v>133.02000000000001</v>
      </c>
      <c r="E99" s="2302"/>
      <c r="F99" s="2303"/>
      <c r="G99" s="2304"/>
    </row>
    <row r="100" spans="1:7" ht="15.75" thickBot="1">
      <c r="A100" s="2311"/>
      <c r="B100" s="2312"/>
      <c r="C100" s="2312"/>
      <c r="D100" s="2312"/>
      <c r="E100" s="2312"/>
      <c r="F100" s="2312"/>
      <c r="G100" s="2313"/>
    </row>
    <row r="101" spans="1:7" ht="15.75" thickBot="1">
      <c r="A101" s="1043" t="s">
        <v>173</v>
      </c>
      <c r="B101" s="2215" t="s">
        <v>648</v>
      </c>
      <c r="C101" s="2216"/>
      <c r="D101" s="2216"/>
      <c r="E101" s="2216"/>
      <c r="F101" s="2216"/>
      <c r="G101" s="2217"/>
    </row>
    <row r="102" spans="1:7">
      <c r="A102" s="2305" t="s">
        <v>306</v>
      </c>
      <c r="B102" s="2306"/>
      <c r="C102" s="2306"/>
      <c r="D102" s="2306"/>
      <c r="E102" s="2306"/>
      <c r="F102" s="2306"/>
      <c r="G102" s="2307"/>
    </row>
    <row r="103" spans="1:7">
      <c r="A103" s="2289" t="s">
        <v>642</v>
      </c>
      <c r="B103" s="2290"/>
      <c r="C103" s="2290"/>
      <c r="D103" s="2290"/>
      <c r="E103" s="2290"/>
      <c r="F103" s="2290"/>
      <c r="G103" s="2291"/>
    </row>
    <row r="104" spans="1:7">
      <c r="A104" s="1093" t="s">
        <v>311</v>
      </c>
      <c r="B104" s="1087" t="s">
        <v>308</v>
      </c>
      <c r="C104" s="1087" t="s">
        <v>327</v>
      </c>
      <c r="D104" s="1087" t="s">
        <v>331</v>
      </c>
      <c r="E104" s="2294" t="s">
        <v>309</v>
      </c>
      <c r="F104" s="2295"/>
      <c r="G104" s="2296"/>
    </row>
    <row r="105" spans="1:7">
      <c r="A105" s="1081" t="s">
        <v>649</v>
      </c>
      <c r="B105" s="1133">
        <v>15.52</v>
      </c>
      <c r="C105" s="1133">
        <v>15.52</v>
      </c>
      <c r="D105" s="1138">
        <f>ROUNDUP(C105,2)</f>
        <v>15.52</v>
      </c>
      <c r="E105" s="2308"/>
      <c r="F105" s="2309"/>
      <c r="G105" s="2310"/>
    </row>
    <row r="106" spans="1:7" ht="15.75" thickBot="1">
      <c r="A106" s="2280" t="s">
        <v>325</v>
      </c>
      <c r="B106" s="2281"/>
      <c r="C106" s="2281"/>
      <c r="D106" s="1089">
        <f>ROUNDUP(D105,2)</f>
        <v>15.52</v>
      </c>
      <c r="E106" s="2302"/>
      <c r="F106" s="2303"/>
      <c r="G106" s="2304"/>
    </row>
    <row r="107" spans="1:7" ht="15.75" thickBot="1">
      <c r="A107" s="1090"/>
      <c r="B107" s="1091"/>
      <c r="C107" s="1091"/>
      <c r="D107" s="1091"/>
      <c r="E107" s="1091"/>
      <c r="F107" s="1091"/>
      <c r="G107" s="1092"/>
    </row>
    <row r="108" spans="1:7" ht="15.75" thickBot="1">
      <c r="A108" s="1043" t="s">
        <v>1627</v>
      </c>
      <c r="B108" s="2215" t="s">
        <v>650</v>
      </c>
      <c r="C108" s="2216"/>
      <c r="D108" s="2216"/>
      <c r="E108" s="2216"/>
      <c r="F108" s="2216"/>
      <c r="G108" s="2217"/>
    </row>
    <row r="109" spans="1:7">
      <c r="A109" s="2305" t="s">
        <v>306</v>
      </c>
      <c r="B109" s="2306"/>
      <c r="C109" s="2306"/>
      <c r="D109" s="2306"/>
      <c r="E109" s="2306"/>
      <c r="F109" s="2306"/>
      <c r="G109" s="2307"/>
    </row>
    <row r="110" spans="1:7">
      <c r="A110" s="2289" t="s">
        <v>642</v>
      </c>
      <c r="B110" s="2290"/>
      <c r="C110" s="2290"/>
      <c r="D110" s="2290"/>
      <c r="E110" s="2290"/>
      <c r="F110" s="2290"/>
      <c r="G110" s="2291"/>
    </row>
    <row r="111" spans="1:7">
      <c r="A111" s="1093" t="s">
        <v>311</v>
      </c>
      <c r="B111" s="2294" t="s">
        <v>651</v>
      </c>
      <c r="C111" s="2293"/>
      <c r="D111" s="2294" t="s">
        <v>309</v>
      </c>
      <c r="E111" s="2295"/>
      <c r="F111" s="2295"/>
      <c r="G111" s="2296"/>
    </row>
    <row r="112" spans="1:7" ht="24">
      <c r="A112" s="1081" t="s">
        <v>652</v>
      </c>
      <c r="B112" s="2314">
        <v>9</v>
      </c>
      <c r="C112" s="2315"/>
      <c r="D112" s="2316"/>
      <c r="E112" s="2317"/>
      <c r="F112" s="2317"/>
      <c r="G112" s="2318"/>
    </row>
    <row r="113" spans="1:7" ht="15.75" thickBot="1">
      <c r="A113" s="1094" t="s">
        <v>325</v>
      </c>
      <c r="B113" s="2319">
        <f>SUM(B112)</f>
        <v>9</v>
      </c>
      <c r="C113" s="2320"/>
      <c r="D113" s="1095"/>
      <c r="E113" s="1096"/>
      <c r="F113" s="1096"/>
      <c r="G113" s="1097"/>
    </row>
    <row r="114" spans="1:7" ht="15.75" thickBot="1">
      <c r="A114" s="1090"/>
      <c r="B114" s="1091"/>
      <c r="C114" s="1091"/>
      <c r="D114" s="1091"/>
      <c r="E114" s="1091"/>
      <c r="F114" s="1091"/>
      <c r="G114" s="1092"/>
    </row>
    <row r="115" spans="1:7" ht="15.75" thickBot="1">
      <c r="A115" s="1043" t="s">
        <v>1628</v>
      </c>
      <c r="B115" s="2215" t="s">
        <v>653</v>
      </c>
      <c r="C115" s="2216"/>
      <c r="D115" s="2216"/>
      <c r="E115" s="2216"/>
      <c r="F115" s="2216"/>
      <c r="G115" s="2217"/>
    </row>
    <row r="116" spans="1:7">
      <c r="A116" s="2305" t="s">
        <v>306</v>
      </c>
      <c r="B116" s="2306"/>
      <c r="C116" s="2306"/>
      <c r="D116" s="2306"/>
      <c r="E116" s="2306"/>
      <c r="F116" s="2306"/>
      <c r="G116" s="2307"/>
    </row>
    <row r="117" spans="1:7">
      <c r="A117" s="2289" t="s">
        <v>642</v>
      </c>
      <c r="B117" s="2290"/>
      <c r="C117" s="2290"/>
      <c r="D117" s="2290"/>
      <c r="E117" s="2290"/>
      <c r="F117" s="2290"/>
      <c r="G117" s="2291"/>
    </row>
    <row r="118" spans="1:7">
      <c r="A118" s="1093" t="s">
        <v>311</v>
      </c>
      <c r="B118" s="2294" t="s">
        <v>651</v>
      </c>
      <c r="C118" s="2293"/>
      <c r="D118" s="2294" t="s">
        <v>309</v>
      </c>
      <c r="E118" s="2295"/>
      <c r="F118" s="2295"/>
      <c r="G118" s="2296"/>
    </row>
    <row r="119" spans="1:7" ht="24">
      <c r="A119" s="1081" t="s">
        <v>652</v>
      </c>
      <c r="B119" s="2314">
        <v>6</v>
      </c>
      <c r="C119" s="2315"/>
      <c r="D119" s="2316"/>
      <c r="E119" s="2317"/>
      <c r="F119" s="2317"/>
      <c r="G119" s="2318"/>
    </row>
    <row r="120" spans="1:7" ht="15.75" thickBot="1">
      <c r="A120" s="1094" t="s">
        <v>325</v>
      </c>
      <c r="B120" s="2319">
        <f>SUM(B119)</f>
        <v>6</v>
      </c>
      <c r="C120" s="2320"/>
      <c r="D120" s="1095"/>
      <c r="E120" s="1096"/>
      <c r="F120" s="1096"/>
      <c r="G120" s="1097"/>
    </row>
    <row r="121" spans="1:7" ht="15.75" thickBot="1">
      <c r="A121" s="1098"/>
      <c r="B121" s="1099"/>
      <c r="C121" s="1099"/>
      <c r="D121" s="1100"/>
      <c r="E121" s="1100"/>
      <c r="F121" s="1100"/>
      <c r="G121" s="1101"/>
    </row>
    <row r="122" spans="1:7" ht="15.75" thickBot="1">
      <c r="A122" s="2311"/>
      <c r="B122" s="2312"/>
      <c r="C122" s="2312"/>
      <c r="D122" s="2312"/>
      <c r="E122" s="2312"/>
      <c r="F122" s="2312"/>
      <c r="G122" s="2313"/>
    </row>
    <row r="123" spans="1:7" ht="15.75" thickBot="1">
      <c r="A123" s="1043" t="s">
        <v>1629</v>
      </c>
      <c r="B123" s="2215" t="s">
        <v>654</v>
      </c>
      <c r="C123" s="2216"/>
      <c r="D123" s="2216"/>
      <c r="E123" s="2216"/>
      <c r="F123" s="2216"/>
      <c r="G123" s="2217"/>
    </row>
    <row r="124" spans="1:7">
      <c r="A124" s="2321" t="s">
        <v>306</v>
      </c>
      <c r="B124" s="2322"/>
      <c r="C124" s="2322"/>
      <c r="D124" s="2322"/>
      <c r="E124" s="2322"/>
      <c r="F124" s="2322"/>
      <c r="G124" s="2323"/>
    </row>
    <row r="125" spans="1:7">
      <c r="A125" s="2289" t="s">
        <v>642</v>
      </c>
      <c r="B125" s="2290"/>
      <c r="C125" s="2290"/>
      <c r="D125" s="2290"/>
      <c r="E125" s="2290"/>
      <c r="F125" s="2290"/>
      <c r="G125" s="2291"/>
    </row>
    <row r="126" spans="1:7">
      <c r="A126" s="1102" t="s">
        <v>603</v>
      </c>
      <c r="B126" s="1050" t="s">
        <v>655</v>
      </c>
      <c r="C126" s="1050" t="s">
        <v>330</v>
      </c>
      <c r="D126" s="1050" t="s">
        <v>656</v>
      </c>
      <c r="E126" s="1103" t="s">
        <v>327</v>
      </c>
      <c r="F126" s="2324" t="s">
        <v>309</v>
      </c>
      <c r="G126" s="2325"/>
    </row>
    <row r="127" spans="1:7">
      <c r="A127" s="1081" t="s">
        <v>1721</v>
      </c>
      <c r="B127" s="1104">
        <f>45.25+82.67+69.02</f>
        <v>196.94</v>
      </c>
      <c r="C127" s="1065">
        <v>0.4</v>
      </c>
      <c r="D127" s="1105">
        <f>(3.9*0.4)+(1.5*0.4)</f>
        <v>2.16</v>
      </c>
      <c r="E127" s="1106">
        <f>((B127*0.4))-D127</f>
        <v>76.616000000000014</v>
      </c>
      <c r="F127" s="2326"/>
      <c r="G127" s="2327"/>
    </row>
    <row r="128" spans="1:7" ht="15.75" thickBot="1">
      <c r="A128" s="2328"/>
      <c r="B128" s="2329"/>
      <c r="C128" s="2330"/>
      <c r="D128" s="1107" t="s">
        <v>325</v>
      </c>
      <c r="E128" s="1108">
        <f>E127</f>
        <v>76.616000000000014</v>
      </c>
      <c r="F128" s="1280"/>
      <c r="G128" s="1281"/>
    </row>
    <row r="129" spans="1:7" ht="15.75" thickBot="1">
      <c r="A129" s="1098"/>
      <c r="B129" s="1099"/>
      <c r="C129" s="1099"/>
      <c r="D129" s="1100"/>
      <c r="E129" s="1100"/>
      <c r="F129" s="1100"/>
      <c r="G129" s="1101"/>
    </row>
    <row r="130" spans="1:7" ht="15.75" thickBot="1">
      <c r="A130" s="1043" t="s">
        <v>1630</v>
      </c>
      <c r="B130" s="2215" t="s">
        <v>657</v>
      </c>
      <c r="C130" s="2216"/>
      <c r="D130" s="2216"/>
      <c r="E130" s="2216"/>
      <c r="F130" s="2216"/>
      <c r="G130" s="2217"/>
    </row>
    <row r="131" spans="1:7">
      <c r="A131" s="2321" t="s">
        <v>306</v>
      </c>
      <c r="B131" s="2322"/>
      <c r="C131" s="2322"/>
      <c r="D131" s="2322"/>
      <c r="E131" s="2322"/>
      <c r="F131" s="2322"/>
      <c r="G131" s="2323"/>
    </row>
    <row r="132" spans="1:7">
      <c r="A132" s="2289" t="s">
        <v>642</v>
      </c>
      <c r="B132" s="2290"/>
      <c r="C132" s="2290"/>
      <c r="D132" s="2290"/>
      <c r="E132" s="2290"/>
      <c r="F132" s="2290"/>
      <c r="G132" s="2291"/>
    </row>
    <row r="133" spans="1:7">
      <c r="A133" s="1102" t="s">
        <v>603</v>
      </c>
      <c r="B133" s="1050" t="s">
        <v>655</v>
      </c>
      <c r="C133" s="1050" t="s">
        <v>330</v>
      </c>
      <c r="D133" s="1050" t="s">
        <v>656</v>
      </c>
      <c r="E133" s="1103" t="s">
        <v>327</v>
      </c>
      <c r="F133" s="2324" t="s">
        <v>309</v>
      </c>
      <c r="G133" s="2325"/>
    </row>
    <row r="134" spans="1:7">
      <c r="A134" s="1081" t="s">
        <v>1722</v>
      </c>
      <c r="B134" s="1104">
        <f>(45.25+82.67+69.02)*2</f>
        <v>393.88</v>
      </c>
      <c r="C134" s="1065">
        <v>0.4</v>
      </c>
      <c r="D134" s="1105">
        <f>((3.9*0.4)+(1.5*0.4))*2</f>
        <v>4.32</v>
      </c>
      <c r="E134" s="1106">
        <f>(B134*C134)-D134</f>
        <v>153.23200000000003</v>
      </c>
      <c r="F134" s="2326"/>
      <c r="G134" s="2327"/>
    </row>
    <row r="135" spans="1:7">
      <c r="A135" s="1081" t="s">
        <v>1723</v>
      </c>
      <c r="B135" s="1104">
        <f>(45.25+82.67+69.02)</f>
        <v>196.94</v>
      </c>
      <c r="C135" s="1065">
        <v>0.15</v>
      </c>
      <c r="D135" s="1105"/>
      <c r="E135" s="1106">
        <f>(B135*C135)</f>
        <v>29.540999999999997</v>
      </c>
      <c r="F135" s="2326"/>
      <c r="G135" s="2327"/>
    </row>
    <row r="136" spans="1:7" ht="15.75" thickBot="1">
      <c r="A136" s="2328"/>
      <c r="B136" s="2329"/>
      <c r="C136" s="2330"/>
      <c r="D136" s="1107" t="s">
        <v>325</v>
      </c>
      <c r="E136" s="1108">
        <f>SUM(E134:E135)</f>
        <v>182.77300000000002</v>
      </c>
      <c r="F136" s="1280"/>
      <c r="G136" s="1281"/>
    </row>
    <row r="137" spans="1:7" ht="15.75" thickBot="1">
      <c r="A137" s="1098"/>
      <c r="B137" s="1099"/>
      <c r="C137" s="1099"/>
      <c r="D137" s="1100"/>
      <c r="E137" s="1100"/>
      <c r="F137" s="1100"/>
      <c r="G137" s="1101"/>
    </row>
    <row r="138" spans="1:7" ht="15.75" thickBot="1">
      <c r="A138" s="1043" t="s">
        <v>1631</v>
      </c>
      <c r="B138" s="2215" t="s">
        <v>1724</v>
      </c>
      <c r="C138" s="2216"/>
      <c r="D138" s="2216"/>
      <c r="E138" s="2216"/>
      <c r="F138" s="2216"/>
      <c r="G138" s="2217"/>
    </row>
    <row r="139" spans="1:7">
      <c r="A139" s="2321" t="s">
        <v>306</v>
      </c>
      <c r="B139" s="2322"/>
      <c r="C139" s="2322"/>
      <c r="D139" s="2322"/>
      <c r="E139" s="2322"/>
      <c r="F139" s="2322"/>
      <c r="G139" s="2323"/>
    </row>
    <row r="140" spans="1:7">
      <c r="A140" s="2289" t="s">
        <v>642</v>
      </c>
      <c r="B140" s="2290"/>
      <c r="C140" s="2290"/>
      <c r="D140" s="2290"/>
      <c r="E140" s="2290"/>
      <c r="F140" s="2290"/>
      <c r="G140" s="2291"/>
    </row>
    <row r="141" spans="1:7">
      <c r="A141" s="1102" t="s">
        <v>603</v>
      </c>
      <c r="B141" s="1050" t="s">
        <v>655</v>
      </c>
      <c r="C141" s="1050" t="s">
        <v>330</v>
      </c>
      <c r="D141" s="1050" t="s">
        <v>656</v>
      </c>
      <c r="E141" s="1103" t="s">
        <v>327</v>
      </c>
      <c r="F141" s="2324" t="s">
        <v>309</v>
      </c>
      <c r="G141" s="2325"/>
    </row>
    <row r="142" spans="1:7">
      <c r="A142" s="1081" t="s">
        <v>1722</v>
      </c>
      <c r="B142" s="1104">
        <f>(45.25+82.67+69.02)*2</f>
        <v>393.88</v>
      </c>
      <c r="C142" s="1065">
        <v>0.4</v>
      </c>
      <c r="D142" s="1105">
        <f>((3.9*0.4)+(1.5*0.4))*2</f>
        <v>4.32</v>
      </c>
      <c r="E142" s="1106">
        <f>(B142*C142)-D142</f>
        <v>153.23200000000003</v>
      </c>
      <c r="F142" s="2326"/>
      <c r="G142" s="2327"/>
    </row>
    <row r="143" spans="1:7">
      <c r="A143" s="1081" t="s">
        <v>1723</v>
      </c>
      <c r="B143" s="1104">
        <f>(45.25+82.67+69.02)</f>
        <v>196.94</v>
      </c>
      <c r="C143" s="1065">
        <v>0.15</v>
      </c>
      <c r="D143" s="1105"/>
      <c r="E143" s="1106">
        <f>(B143*C143)</f>
        <v>29.540999999999997</v>
      </c>
      <c r="F143" s="2326"/>
      <c r="G143" s="2327"/>
    </row>
    <row r="144" spans="1:7" ht="15.75" thickBot="1">
      <c r="A144" s="2328"/>
      <c r="B144" s="2329"/>
      <c r="C144" s="2330"/>
      <c r="D144" s="1107" t="s">
        <v>325</v>
      </c>
      <c r="E144" s="1108">
        <f>SUM(E142:E143)</f>
        <v>182.77300000000002</v>
      </c>
      <c r="F144" s="1280"/>
      <c r="G144" s="1281"/>
    </row>
    <row r="145" spans="1:7" ht="15.75" thickBot="1">
      <c r="A145" s="1098"/>
      <c r="B145" s="1099"/>
      <c r="C145" s="1099"/>
      <c r="D145" s="1100"/>
      <c r="E145" s="1100"/>
      <c r="F145" s="1100"/>
      <c r="G145" s="1101"/>
    </row>
    <row r="146" spans="1:7" ht="15.75" thickBot="1">
      <c r="A146" s="1043" t="s">
        <v>1632</v>
      </c>
      <c r="B146" s="2215" t="s">
        <v>658</v>
      </c>
      <c r="C146" s="2216"/>
      <c r="D146" s="2216"/>
      <c r="E146" s="2216"/>
      <c r="F146" s="2216"/>
      <c r="G146" s="2217"/>
    </row>
    <row r="147" spans="1:7">
      <c r="A147" s="2321" t="s">
        <v>306</v>
      </c>
      <c r="B147" s="2322"/>
      <c r="C147" s="2322"/>
      <c r="D147" s="2322"/>
      <c r="E147" s="2322"/>
      <c r="F147" s="2322"/>
      <c r="G147" s="2323"/>
    </row>
    <row r="148" spans="1:7">
      <c r="A148" s="2289" t="s">
        <v>642</v>
      </c>
      <c r="B148" s="2290"/>
      <c r="C148" s="2290"/>
      <c r="D148" s="2290"/>
      <c r="E148" s="2290"/>
      <c r="F148" s="2290"/>
      <c r="G148" s="2291"/>
    </row>
    <row r="149" spans="1:7">
      <c r="A149" s="1102" t="s">
        <v>603</v>
      </c>
      <c r="B149" s="1050" t="s">
        <v>655</v>
      </c>
      <c r="C149" s="1050" t="s">
        <v>330</v>
      </c>
      <c r="D149" s="1050" t="s">
        <v>656</v>
      </c>
      <c r="E149" s="1103" t="s">
        <v>327</v>
      </c>
      <c r="F149" s="2324" t="s">
        <v>309</v>
      </c>
      <c r="G149" s="2325"/>
    </row>
    <row r="150" spans="1:7">
      <c r="A150" s="1081" t="s">
        <v>1722</v>
      </c>
      <c r="B150" s="1104">
        <f>(45.25+82.67+69.02)*2</f>
        <v>393.88</v>
      </c>
      <c r="C150" s="1065">
        <v>0.4</v>
      </c>
      <c r="D150" s="1105">
        <f>((3.9*0.4)+(1.5*0.4))*2</f>
        <v>4.32</v>
      </c>
      <c r="E150" s="1106">
        <f>(B150*C150)-D150</f>
        <v>153.23200000000003</v>
      </c>
      <c r="F150" s="2326"/>
      <c r="G150" s="2327"/>
    </row>
    <row r="151" spans="1:7">
      <c r="A151" s="1081" t="s">
        <v>1723</v>
      </c>
      <c r="B151" s="1104">
        <f>(45.25+82.67+69.02)</f>
        <v>196.94</v>
      </c>
      <c r="C151" s="1065">
        <v>0.15</v>
      </c>
      <c r="D151" s="1105"/>
      <c r="E151" s="1106">
        <f>(B151*C151)</f>
        <v>29.540999999999997</v>
      </c>
      <c r="F151" s="2326"/>
      <c r="G151" s="2327"/>
    </row>
    <row r="152" spans="1:7" ht="15.75" thickBot="1">
      <c r="A152" s="2328"/>
      <c r="B152" s="2329"/>
      <c r="C152" s="2330"/>
      <c r="D152" s="1107" t="s">
        <v>325</v>
      </c>
      <c r="E152" s="1108">
        <f>SUM(E150:E151)</f>
        <v>182.77300000000002</v>
      </c>
      <c r="F152" s="1280"/>
      <c r="G152" s="1281"/>
    </row>
    <row r="153" spans="1:7" ht="15.75" thickBot="1">
      <c r="A153" s="1098"/>
      <c r="B153" s="1099"/>
      <c r="C153" s="1099"/>
      <c r="D153" s="1100"/>
      <c r="E153" s="1100"/>
      <c r="F153" s="1100"/>
      <c r="G153" s="1101"/>
    </row>
    <row r="154" spans="1:7" ht="15.75" thickBot="1">
      <c r="A154" s="1043" t="s">
        <v>1633</v>
      </c>
      <c r="B154" s="2215" t="s">
        <v>659</v>
      </c>
      <c r="C154" s="2216"/>
      <c r="D154" s="2216"/>
      <c r="E154" s="2216"/>
      <c r="F154" s="2216"/>
      <c r="G154" s="2217"/>
    </row>
    <row r="155" spans="1:7">
      <c r="A155" s="2321" t="s">
        <v>306</v>
      </c>
      <c r="B155" s="2322"/>
      <c r="C155" s="2322"/>
      <c r="D155" s="2322"/>
      <c r="E155" s="2322"/>
      <c r="F155" s="2322"/>
      <c r="G155" s="2323"/>
    </row>
    <row r="156" spans="1:7">
      <c r="A156" s="2289" t="s">
        <v>642</v>
      </c>
      <c r="B156" s="2290"/>
      <c r="C156" s="2290"/>
      <c r="D156" s="2290"/>
      <c r="E156" s="2290"/>
      <c r="F156" s="2290"/>
      <c r="G156" s="2291"/>
    </row>
    <row r="157" spans="1:7">
      <c r="A157" s="1102" t="s">
        <v>603</v>
      </c>
      <c r="B157" s="1050" t="s">
        <v>655</v>
      </c>
      <c r="C157" s="1050" t="s">
        <v>330</v>
      </c>
      <c r="D157" s="1050" t="s">
        <v>656</v>
      </c>
      <c r="E157" s="1103" t="s">
        <v>327</v>
      </c>
      <c r="F157" s="2324" t="s">
        <v>309</v>
      </c>
      <c r="G157" s="2325"/>
    </row>
    <row r="158" spans="1:7">
      <c r="A158" s="1081" t="s">
        <v>1722</v>
      </c>
      <c r="B158" s="1104">
        <f>(45.25+82.67+69.02)*2</f>
        <v>393.88</v>
      </c>
      <c r="C158" s="1065">
        <v>0.4</v>
      </c>
      <c r="D158" s="1105">
        <f>((3.9*0.4)+(1.5*0.4))*2</f>
        <v>4.32</v>
      </c>
      <c r="E158" s="1106">
        <f>(B158*C158)-D158</f>
        <v>153.23200000000003</v>
      </c>
      <c r="F158" s="2326"/>
      <c r="G158" s="2327"/>
    </row>
    <row r="159" spans="1:7">
      <c r="A159" s="1081" t="s">
        <v>1723</v>
      </c>
      <c r="B159" s="1104">
        <f>(45.25+82.67+69.02)</f>
        <v>196.94</v>
      </c>
      <c r="C159" s="1065">
        <v>0.15</v>
      </c>
      <c r="D159" s="1105"/>
      <c r="E159" s="1106">
        <f>(B159*C159)</f>
        <v>29.540999999999997</v>
      </c>
      <c r="F159" s="2326"/>
      <c r="G159" s="2327"/>
    </row>
    <row r="160" spans="1:7" ht="15.75" thickBot="1">
      <c r="A160" s="2328"/>
      <c r="B160" s="2329"/>
      <c r="C160" s="2330"/>
      <c r="D160" s="1107" t="s">
        <v>325</v>
      </c>
      <c r="E160" s="1108">
        <f>SUM(E158:E159)</f>
        <v>182.77300000000002</v>
      </c>
      <c r="F160" s="1280"/>
      <c r="G160" s="1281"/>
    </row>
    <row r="161" spans="1:12" ht="15.75" thickBot="1">
      <c r="A161" s="1098"/>
      <c r="B161" s="1099"/>
      <c r="C161" s="1099"/>
      <c r="D161" s="1100"/>
      <c r="E161" s="1100"/>
      <c r="F161" s="1100"/>
      <c r="G161" s="1101"/>
    </row>
    <row r="162" spans="1:12" ht="15.75" thickBot="1">
      <c r="A162" s="1043" t="s">
        <v>1633</v>
      </c>
      <c r="B162" s="2215" t="s">
        <v>660</v>
      </c>
      <c r="C162" s="2216"/>
      <c r="D162" s="2216"/>
      <c r="E162" s="2216"/>
      <c r="F162" s="2216"/>
      <c r="G162" s="2217"/>
    </row>
    <row r="163" spans="1:12">
      <c r="A163" s="2321" t="s">
        <v>306</v>
      </c>
      <c r="B163" s="2322"/>
      <c r="C163" s="2322"/>
      <c r="D163" s="2322"/>
      <c r="E163" s="2322"/>
      <c r="F163" s="2322"/>
      <c r="G163" s="2323"/>
    </row>
    <row r="164" spans="1:12">
      <c r="A164" s="2289" t="s">
        <v>642</v>
      </c>
      <c r="B164" s="2290"/>
      <c r="C164" s="2290"/>
      <c r="D164" s="2290"/>
      <c r="E164" s="2290"/>
      <c r="F164" s="2290"/>
      <c r="G164" s="2291"/>
    </row>
    <row r="165" spans="1:12">
      <c r="A165" s="1102" t="s">
        <v>603</v>
      </c>
      <c r="B165" s="1050" t="s">
        <v>655</v>
      </c>
      <c r="C165" s="1050" t="s">
        <v>330</v>
      </c>
      <c r="D165" s="1050" t="s">
        <v>656</v>
      </c>
      <c r="E165" s="1103" t="s">
        <v>327</v>
      </c>
      <c r="F165" s="2324" t="s">
        <v>309</v>
      </c>
      <c r="G165" s="2325"/>
    </row>
    <row r="166" spans="1:12">
      <c r="A166" s="1081" t="s">
        <v>1722</v>
      </c>
      <c r="B166" s="1104">
        <f>(45.25+82.67+69.02)*2</f>
        <v>393.88</v>
      </c>
      <c r="C166" s="1065">
        <v>0.4</v>
      </c>
      <c r="D166" s="1105">
        <f>((3.9*0.4)+(1.5*0.4))*2</f>
        <v>4.32</v>
      </c>
      <c r="E166" s="1106">
        <f>(B166*C166)-D166</f>
        <v>153.23200000000003</v>
      </c>
      <c r="F166" s="2326"/>
      <c r="G166" s="2327"/>
    </row>
    <row r="167" spans="1:12">
      <c r="A167" s="1081" t="s">
        <v>1723</v>
      </c>
      <c r="B167" s="1104">
        <f>(45.25+82.67+69.02)</f>
        <v>196.94</v>
      </c>
      <c r="C167" s="1065">
        <v>0.15</v>
      </c>
      <c r="D167" s="1105"/>
      <c r="E167" s="1106">
        <f>(B167*C167)</f>
        <v>29.540999999999997</v>
      </c>
      <c r="F167" s="2326"/>
      <c r="G167" s="2327"/>
    </row>
    <row r="168" spans="1:12" ht="15.75" thickBot="1">
      <c r="A168" s="2328"/>
      <c r="B168" s="2329"/>
      <c r="C168" s="2330"/>
      <c r="D168" s="1107" t="s">
        <v>325</v>
      </c>
      <c r="E168" s="1108">
        <f>SUM(E166:E167)</f>
        <v>182.77300000000002</v>
      </c>
      <c r="F168" s="1280"/>
      <c r="G168" s="1281"/>
    </row>
    <row r="169" spans="1:12" ht="15.75" thickBot="1">
      <c r="A169" s="1098"/>
      <c r="B169" s="1099"/>
      <c r="C169" s="1099"/>
      <c r="D169" s="1100"/>
      <c r="E169" s="1100"/>
      <c r="F169" s="1100"/>
      <c r="G169" s="1101"/>
    </row>
    <row r="170" spans="1:12" ht="15.75" thickBot="1">
      <c r="A170" s="1043" t="s">
        <v>1634</v>
      </c>
      <c r="B170" s="2215" t="s">
        <v>661</v>
      </c>
      <c r="C170" s="2216"/>
      <c r="D170" s="2216"/>
      <c r="E170" s="2216"/>
      <c r="F170" s="2216"/>
      <c r="G170" s="2217"/>
    </row>
    <row r="171" spans="1:12">
      <c r="A171" s="2321" t="s">
        <v>306</v>
      </c>
      <c r="B171" s="2322"/>
      <c r="C171" s="2322"/>
      <c r="D171" s="2322"/>
      <c r="E171" s="2322"/>
      <c r="F171" s="2322"/>
      <c r="G171" s="2323"/>
    </row>
    <row r="172" spans="1:12">
      <c r="A172" s="2289" t="s">
        <v>642</v>
      </c>
      <c r="B172" s="2290"/>
      <c r="C172" s="2290"/>
      <c r="D172" s="2290"/>
      <c r="E172" s="2290"/>
      <c r="F172" s="2290"/>
      <c r="G172" s="2291"/>
    </row>
    <row r="173" spans="1:12">
      <c r="A173" s="1102" t="s">
        <v>603</v>
      </c>
      <c r="B173" s="1050" t="s">
        <v>655</v>
      </c>
      <c r="C173" s="1050" t="s">
        <v>330</v>
      </c>
      <c r="D173" s="1050" t="s">
        <v>656</v>
      </c>
      <c r="E173" s="1103" t="s">
        <v>327</v>
      </c>
      <c r="F173" s="2324" t="s">
        <v>309</v>
      </c>
      <c r="G173" s="2325"/>
    </row>
    <row r="174" spans="1:12" ht="15.75" thickBot="1">
      <c r="A174" s="1081" t="s">
        <v>1721</v>
      </c>
      <c r="B174" s="1104">
        <f>45.25+82.67+69.02</f>
        <v>196.94</v>
      </c>
      <c r="C174" s="1065">
        <v>2.0299999999999998</v>
      </c>
      <c r="D174" s="1105">
        <v>5.4</v>
      </c>
      <c r="E174" s="1108">
        <v>388.83</v>
      </c>
      <c r="F174" s="2326"/>
      <c r="G174" s="2327"/>
      <c r="K174" s="205">
        <f>196.94-5.4</f>
        <v>191.54</v>
      </c>
      <c r="L174">
        <f>K174*2.03</f>
        <v>388.82619999999997</v>
      </c>
    </row>
    <row r="175" spans="1:12" ht="15.75" thickBot="1">
      <c r="A175" s="2328"/>
      <c r="B175" s="2329"/>
      <c r="C175" s="2330"/>
      <c r="D175" s="1107" t="s">
        <v>325</v>
      </c>
      <c r="E175" s="1108">
        <f>E174</f>
        <v>388.83</v>
      </c>
      <c r="F175" s="1282"/>
      <c r="G175" s="1283"/>
    </row>
    <row r="176" spans="1:12" ht="15.75" thickBot="1">
      <c r="A176" s="1098"/>
      <c r="B176" s="1099"/>
      <c r="C176" s="1099"/>
      <c r="D176" s="1100"/>
      <c r="E176" s="1100"/>
      <c r="F176" s="1100"/>
      <c r="G176" s="1101"/>
    </row>
    <row r="177" spans="1:7" ht="15.75" thickBot="1">
      <c r="A177" s="1043" t="s">
        <v>1635</v>
      </c>
      <c r="B177" s="2215" t="s">
        <v>662</v>
      </c>
      <c r="C177" s="2216"/>
      <c r="D177" s="2216"/>
      <c r="E177" s="2216"/>
      <c r="F177" s="2216"/>
      <c r="G177" s="2217"/>
    </row>
    <row r="178" spans="1:7">
      <c r="A178" s="2286" t="s">
        <v>306</v>
      </c>
      <c r="B178" s="2287"/>
      <c r="C178" s="2287"/>
      <c r="D178" s="2287"/>
      <c r="E178" s="2287"/>
      <c r="F178" s="2287"/>
      <c r="G178" s="2288"/>
    </row>
    <row r="179" spans="1:7">
      <c r="A179" s="2289" t="s">
        <v>642</v>
      </c>
      <c r="B179" s="2290"/>
      <c r="C179" s="2290"/>
      <c r="D179" s="2290"/>
      <c r="E179" s="2290"/>
      <c r="F179" s="2290"/>
      <c r="G179" s="2291"/>
    </row>
    <row r="180" spans="1:7">
      <c r="A180" s="2292" t="s">
        <v>311</v>
      </c>
      <c r="B180" s="2293"/>
      <c r="C180" s="1087" t="s">
        <v>604</v>
      </c>
      <c r="D180" s="1087" t="s">
        <v>331</v>
      </c>
      <c r="E180" s="2294" t="s">
        <v>309</v>
      </c>
      <c r="F180" s="2295"/>
      <c r="G180" s="2296"/>
    </row>
    <row r="181" spans="1:7">
      <c r="A181" s="2297" t="s">
        <v>602</v>
      </c>
      <c r="B181" s="2298"/>
      <c r="C181" s="1088">
        <v>283.66000000000003</v>
      </c>
      <c r="D181" s="1109">
        <f>C181</f>
        <v>283.66000000000003</v>
      </c>
      <c r="E181" s="2299"/>
      <c r="F181" s="2300"/>
      <c r="G181" s="2301"/>
    </row>
    <row r="182" spans="1:7" ht="15.75" thickBot="1">
      <c r="A182" s="2280" t="s">
        <v>325</v>
      </c>
      <c r="B182" s="2281"/>
      <c r="C182" s="2282"/>
      <c r="D182" s="1089">
        <f>SUM(D181)</f>
        <v>283.66000000000003</v>
      </c>
      <c r="E182" s="2302"/>
      <c r="F182" s="2303"/>
      <c r="G182" s="2304"/>
    </row>
    <row r="183" spans="1:7" ht="15.75" thickBot="1">
      <c r="A183" s="1098"/>
      <c r="B183" s="1099"/>
      <c r="C183" s="1099"/>
      <c r="D183" s="1100"/>
      <c r="E183" s="1100"/>
      <c r="F183" s="1100"/>
      <c r="G183" s="1101"/>
    </row>
    <row r="184" spans="1:7" ht="15.75" thickBot="1">
      <c r="A184" s="1043" t="s">
        <v>1636</v>
      </c>
      <c r="B184" s="2215" t="s">
        <v>663</v>
      </c>
      <c r="C184" s="2216"/>
      <c r="D184" s="2216"/>
      <c r="E184" s="2216"/>
      <c r="F184" s="2216"/>
      <c r="G184" s="2217"/>
    </row>
    <row r="185" spans="1:7">
      <c r="A185" s="2286" t="s">
        <v>306</v>
      </c>
      <c r="B185" s="2287"/>
      <c r="C185" s="2287"/>
      <c r="D185" s="2287"/>
      <c r="E185" s="2287"/>
      <c r="F185" s="2287"/>
      <c r="G185" s="2288"/>
    </row>
    <row r="186" spans="1:7">
      <c r="A186" s="2289" t="s">
        <v>642</v>
      </c>
      <c r="B186" s="2290"/>
      <c r="C186" s="2290"/>
      <c r="D186" s="2290"/>
      <c r="E186" s="2290"/>
      <c r="F186" s="2290"/>
      <c r="G186" s="2291"/>
    </row>
    <row r="187" spans="1:7">
      <c r="A187" s="2292" t="s">
        <v>311</v>
      </c>
      <c r="B187" s="2293"/>
      <c r="C187" s="1087" t="s">
        <v>338</v>
      </c>
      <c r="D187" s="1087" t="s">
        <v>331</v>
      </c>
      <c r="E187" s="2294" t="s">
        <v>309</v>
      </c>
      <c r="F187" s="2295"/>
      <c r="G187" s="2296"/>
    </row>
    <row r="188" spans="1:7">
      <c r="A188" s="2297" t="s">
        <v>602</v>
      </c>
      <c r="B188" s="2298"/>
      <c r="C188" s="1088">
        <v>2.89</v>
      </c>
      <c r="D188" s="1109">
        <f>2.89*2</f>
        <v>5.78</v>
      </c>
      <c r="E188" s="2299" t="s">
        <v>664</v>
      </c>
      <c r="F188" s="2300"/>
      <c r="G188" s="2301"/>
    </row>
    <row r="189" spans="1:7" ht="15.75" thickBot="1">
      <c r="A189" s="2280" t="s">
        <v>325</v>
      </c>
      <c r="B189" s="2281"/>
      <c r="C189" s="2282"/>
      <c r="D189" s="1089">
        <f>SUM(D188)</f>
        <v>5.78</v>
      </c>
      <c r="E189" s="2302"/>
      <c r="F189" s="2303"/>
      <c r="G189" s="2304"/>
    </row>
    <row r="190" spans="1:7" ht="15.75" thickBot="1">
      <c r="A190" s="1090"/>
      <c r="B190" s="1091"/>
      <c r="C190" s="1091"/>
      <c r="D190" s="1091"/>
      <c r="E190" s="1091"/>
      <c r="F190" s="1091"/>
      <c r="G190" s="1092"/>
    </row>
    <row r="191" spans="1:7" ht="15.75" thickBot="1">
      <c r="A191" s="1043" t="s">
        <v>1637</v>
      </c>
      <c r="B191" s="2215" t="s">
        <v>665</v>
      </c>
      <c r="C191" s="2216"/>
      <c r="D191" s="2216"/>
      <c r="E191" s="2216"/>
      <c r="F191" s="2216"/>
      <c r="G191" s="2217"/>
    </row>
    <row r="192" spans="1:7">
      <c r="A192" s="2286" t="s">
        <v>306</v>
      </c>
      <c r="B192" s="2287"/>
      <c r="C192" s="2287"/>
      <c r="D192" s="2287"/>
      <c r="E192" s="2287"/>
      <c r="F192" s="2287"/>
      <c r="G192" s="2288"/>
    </row>
    <row r="193" spans="1:7">
      <c r="A193" s="2289" t="s">
        <v>642</v>
      </c>
      <c r="B193" s="2290"/>
      <c r="C193" s="2290"/>
      <c r="D193" s="2290"/>
      <c r="E193" s="2290"/>
      <c r="F193" s="2290"/>
      <c r="G193" s="2291"/>
    </row>
    <row r="194" spans="1:7">
      <c r="A194" s="2292" t="s">
        <v>311</v>
      </c>
      <c r="B194" s="2293"/>
      <c r="C194" s="1087" t="s">
        <v>666</v>
      </c>
      <c r="D194" s="1087" t="s">
        <v>337</v>
      </c>
      <c r="E194" s="2294" t="s">
        <v>309</v>
      </c>
      <c r="F194" s="2295"/>
      <c r="G194" s="2296"/>
    </row>
    <row r="195" spans="1:7" ht="26.25" customHeight="1">
      <c r="A195" s="2297" t="s">
        <v>1725</v>
      </c>
      <c r="B195" s="2298"/>
      <c r="C195" s="1088">
        <f>19.41+11.4+((6*2)+(5*12))+((0.31+1.2+(1.41*6)+0.7)*2+((4.05*11)))</f>
        <v>168.7</v>
      </c>
      <c r="D195" s="1109">
        <f>C195</f>
        <v>168.7</v>
      </c>
      <c r="E195" s="2299"/>
      <c r="F195" s="2300"/>
      <c r="G195" s="2301"/>
    </row>
    <row r="196" spans="1:7" ht="15.75" thickBot="1">
      <c r="A196" s="2280" t="s">
        <v>325</v>
      </c>
      <c r="B196" s="2281"/>
      <c r="C196" s="2282"/>
      <c r="D196" s="1089">
        <f>SUM(D195)</f>
        <v>168.7</v>
      </c>
      <c r="E196" s="2302"/>
      <c r="F196" s="2303"/>
      <c r="G196" s="2304"/>
    </row>
    <row r="197" spans="1:7" ht="15.75" thickBot="1">
      <c r="A197" s="1090"/>
      <c r="B197" s="1091"/>
      <c r="C197" s="1091"/>
      <c r="D197" s="1091"/>
      <c r="E197" s="1091"/>
      <c r="F197" s="1091"/>
      <c r="G197" s="1092"/>
    </row>
    <row r="198" spans="1:7" ht="15.75" thickBot="1">
      <c r="A198" s="1043" t="s">
        <v>1638</v>
      </c>
      <c r="B198" s="2215" t="s">
        <v>667</v>
      </c>
      <c r="C198" s="2216"/>
      <c r="D198" s="2216"/>
      <c r="E198" s="2216"/>
      <c r="F198" s="2216"/>
      <c r="G198" s="2217"/>
    </row>
    <row r="199" spans="1:7">
      <c r="A199" s="2305" t="s">
        <v>1639</v>
      </c>
      <c r="B199" s="2306"/>
      <c r="C199" s="2306"/>
      <c r="D199" s="2306"/>
      <c r="E199" s="2306"/>
      <c r="F199" s="2306"/>
      <c r="G199" s="2307"/>
    </row>
    <row r="200" spans="1:7">
      <c r="A200" s="2335" t="s">
        <v>668</v>
      </c>
      <c r="B200" s="2336"/>
      <c r="C200" s="2336"/>
      <c r="D200" s="2336"/>
      <c r="E200" s="2336"/>
      <c r="F200" s="2336"/>
      <c r="G200" s="2337"/>
    </row>
    <row r="201" spans="1:7">
      <c r="A201" s="1093" t="s">
        <v>311</v>
      </c>
      <c r="B201" s="1087" t="s">
        <v>669</v>
      </c>
      <c r="C201" s="1087" t="s">
        <v>338</v>
      </c>
      <c r="D201" s="1087" t="s">
        <v>670</v>
      </c>
      <c r="E201" s="2294" t="s">
        <v>309</v>
      </c>
      <c r="F201" s="2295"/>
      <c r="G201" s="2296"/>
    </row>
    <row r="202" spans="1:7">
      <c r="A202" s="1081" t="s">
        <v>671</v>
      </c>
      <c r="B202" s="1110">
        <v>840</v>
      </c>
      <c r="C202" s="1133">
        <f>0.25*0.25</f>
        <v>6.25E-2</v>
      </c>
      <c r="D202" s="1138">
        <f>ROUNDUP(C202*B202,2)</f>
        <v>52.5</v>
      </c>
      <c r="E202" s="2308" t="s">
        <v>672</v>
      </c>
      <c r="F202" s="2309"/>
      <c r="G202" s="2310"/>
    </row>
    <row r="203" spans="1:7">
      <c r="A203" s="1081" t="s">
        <v>673</v>
      </c>
      <c r="B203" s="1110">
        <v>67</v>
      </c>
      <c r="C203" s="1133">
        <f>0.25*0.25</f>
        <v>6.25E-2</v>
      </c>
      <c r="D203" s="1138">
        <f>ROUNDUP(C203*B203,2)</f>
        <v>4.1899999999999995</v>
      </c>
      <c r="E203" s="2338"/>
      <c r="F203" s="2339"/>
      <c r="G203" s="2340"/>
    </row>
    <row r="204" spans="1:7" ht="15.75" thickBot="1">
      <c r="A204" s="1134" t="s">
        <v>325</v>
      </c>
      <c r="B204" s="1111">
        <f>ROUNDUP(B203+B202,2)</f>
        <v>907</v>
      </c>
      <c r="C204" s="1112"/>
      <c r="D204" s="1089">
        <f>ROUNDUP(D203+D202,2)</f>
        <v>56.69</v>
      </c>
      <c r="E204" s="2341"/>
      <c r="F204" s="2342"/>
      <c r="G204" s="2343"/>
    </row>
    <row r="205" spans="1:7" ht="15.75" thickBot="1">
      <c r="A205" s="1090"/>
      <c r="B205" s="1091"/>
      <c r="C205" s="1091"/>
      <c r="D205" s="1091"/>
      <c r="E205" s="1091"/>
      <c r="F205" s="1091"/>
      <c r="G205" s="1092"/>
    </row>
    <row r="206" spans="1:7" ht="15.75" thickBot="1">
      <c r="A206" s="1043" t="s">
        <v>1640</v>
      </c>
      <c r="B206" s="2215" t="s">
        <v>674</v>
      </c>
      <c r="C206" s="2216"/>
      <c r="D206" s="2216"/>
      <c r="E206" s="2216"/>
      <c r="F206" s="2216"/>
      <c r="G206" s="2217"/>
    </row>
    <row r="207" spans="1:7">
      <c r="A207" s="2321" t="s">
        <v>306</v>
      </c>
      <c r="B207" s="2322"/>
      <c r="C207" s="2322"/>
      <c r="D207" s="2322"/>
      <c r="E207" s="2322"/>
      <c r="F207" s="2322"/>
      <c r="G207" s="2323"/>
    </row>
    <row r="208" spans="1:7">
      <c r="A208" s="2289" t="s">
        <v>642</v>
      </c>
      <c r="B208" s="2290"/>
      <c r="C208" s="2290"/>
      <c r="D208" s="2290"/>
      <c r="E208" s="2290"/>
      <c r="F208" s="2290"/>
      <c r="G208" s="2291"/>
    </row>
    <row r="209" spans="1:7">
      <c r="A209" s="1102" t="s">
        <v>675</v>
      </c>
      <c r="B209" s="1050" t="s">
        <v>669</v>
      </c>
      <c r="C209" s="2237" t="s">
        <v>309</v>
      </c>
      <c r="D209" s="2238"/>
      <c r="E209" s="2238"/>
      <c r="F209" s="2238"/>
      <c r="G209" s="2239"/>
    </row>
    <row r="210" spans="1:7">
      <c r="A210" s="1113">
        <v>40</v>
      </c>
      <c r="B210" s="1114">
        <v>4</v>
      </c>
      <c r="C210" s="2332" t="s">
        <v>1641</v>
      </c>
      <c r="D210" s="2333"/>
      <c r="E210" s="2333"/>
      <c r="F210" s="2333"/>
      <c r="G210" s="2334"/>
    </row>
    <row r="211" spans="1:7">
      <c r="A211" s="1081">
        <v>20</v>
      </c>
      <c r="B211" s="1115">
        <v>40</v>
      </c>
      <c r="C211" s="2332" t="s">
        <v>1726</v>
      </c>
      <c r="D211" s="2333"/>
      <c r="E211" s="2333"/>
      <c r="F211" s="2333"/>
      <c r="G211" s="2334"/>
    </row>
    <row r="212" spans="1:7" ht="15.75" thickBot="1">
      <c r="A212" s="1116"/>
      <c r="B212" s="1117"/>
      <c r="C212" s="1118"/>
      <c r="D212" s="1118"/>
      <c r="E212" s="1118"/>
      <c r="F212" s="1118"/>
      <c r="G212" s="1119"/>
    </row>
    <row r="213" spans="1:7" ht="39" customHeight="1" thickBot="1">
      <c r="A213" s="2043" t="s">
        <v>136</v>
      </c>
      <c r="B213" s="2044"/>
      <c r="C213" s="213"/>
      <c r="D213" s="2107" t="s">
        <v>2193</v>
      </c>
      <c r="E213" s="2107"/>
      <c r="F213" s="2107"/>
      <c r="G213" s="2331"/>
    </row>
  </sheetData>
  <mergeCells count="207">
    <mergeCell ref="A213:B213"/>
    <mergeCell ref="D213:G213"/>
    <mergeCell ref="B206:G206"/>
    <mergeCell ref="A207:G207"/>
    <mergeCell ref="A208:G208"/>
    <mergeCell ref="C209:G209"/>
    <mergeCell ref="C210:G210"/>
    <mergeCell ref="C211:G211"/>
    <mergeCell ref="B198:G198"/>
    <mergeCell ref="A199:G199"/>
    <mergeCell ref="A200:G200"/>
    <mergeCell ref="E201:G201"/>
    <mergeCell ref="E202:G203"/>
    <mergeCell ref="E204:G204"/>
    <mergeCell ref="A193:G193"/>
    <mergeCell ref="A194:B194"/>
    <mergeCell ref="E194:G194"/>
    <mergeCell ref="A195:B195"/>
    <mergeCell ref="E195:G195"/>
    <mergeCell ref="A196:C196"/>
    <mergeCell ref="E196:G196"/>
    <mergeCell ref="A188:B188"/>
    <mergeCell ref="E188:G188"/>
    <mergeCell ref="A189:C189"/>
    <mergeCell ref="E189:G189"/>
    <mergeCell ref="B191:G191"/>
    <mergeCell ref="A192:G192"/>
    <mergeCell ref="A182:C182"/>
    <mergeCell ref="E182:G182"/>
    <mergeCell ref="B184:G184"/>
    <mergeCell ref="A185:G185"/>
    <mergeCell ref="A186:G186"/>
    <mergeCell ref="A187:B187"/>
    <mergeCell ref="E187:G187"/>
    <mergeCell ref="A178:G178"/>
    <mergeCell ref="A179:G179"/>
    <mergeCell ref="A180:B180"/>
    <mergeCell ref="E180:G180"/>
    <mergeCell ref="A181:B181"/>
    <mergeCell ref="E181:G181"/>
    <mergeCell ref="A171:G171"/>
    <mergeCell ref="A172:G172"/>
    <mergeCell ref="F173:G173"/>
    <mergeCell ref="F174:G174"/>
    <mergeCell ref="A175:C175"/>
    <mergeCell ref="B177:G177"/>
    <mergeCell ref="A164:G164"/>
    <mergeCell ref="F165:G165"/>
    <mergeCell ref="F166:G166"/>
    <mergeCell ref="F167:G167"/>
    <mergeCell ref="A168:C168"/>
    <mergeCell ref="B170:G170"/>
    <mergeCell ref="F157:G157"/>
    <mergeCell ref="F158:G158"/>
    <mergeCell ref="F159:G159"/>
    <mergeCell ref="A160:C160"/>
    <mergeCell ref="B162:G162"/>
    <mergeCell ref="A163:G163"/>
    <mergeCell ref="F150:G150"/>
    <mergeCell ref="F151:G151"/>
    <mergeCell ref="A152:C152"/>
    <mergeCell ref="B154:G154"/>
    <mergeCell ref="A155:G155"/>
    <mergeCell ref="A156:G156"/>
    <mergeCell ref="F143:G143"/>
    <mergeCell ref="A144:C144"/>
    <mergeCell ref="B146:G146"/>
    <mergeCell ref="A147:G147"/>
    <mergeCell ref="A148:G148"/>
    <mergeCell ref="F149:G149"/>
    <mergeCell ref="A136:C136"/>
    <mergeCell ref="B138:G138"/>
    <mergeCell ref="A139:G139"/>
    <mergeCell ref="A140:G140"/>
    <mergeCell ref="F141:G141"/>
    <mergeCell ref="F142:G142"/>
    <mergeCell ref="B130:G130"/>
    <mergeCell ref="A131:G131"/>
    <mergeCell ref="A132:G132"/>
    <mergeCell ref="F133:G133"/>
    <mergeCell ref="F134:G134"/>
    <mergeCell ref="F135:G135"/>
    <mergeCell ref="B123:G123"/>
    <mergeCell ref="A124:G124"/>
    <mergeCell ref="A125:G125"/>
    <mergeCell ref="F126:G126"/>
    <mergeCell ref="F127:G127"/>
    <mergeCell ref="A128:C128"/>
    <mergeCell ref="B118:C118"/>
    <mergeCell ref="D118:G118"/>
    <mergeCell ref="B119:C119"/>
    <mergeCell ref="D119:G119"/>
    <mergeCell ref="B120:C120"/>
    <mergeCell ref="A122:G122"/>
    <mergeCell ref="B112:C112"/>
    <mergeCell ref="D112:G112"/>
    <mergeCell ref="B113:C113"/>
    <mergeCell ref="B115:G115"/>
    <mergeCell ref="A116:G116"/>
    <mergeCell ref="A117:G117"/>
    <mergeCell ref="A106:C106"/>
    <mergeCell ref="E106:G106"/>
    <mergeCell ref="B108:G108"/>
    <mergeCell ref="A109:G109"/>
    <mergeCell ref="A110:G110"/>
    <mergeCell ref="B111:C111"/>
    <mergeCell ref="D111:G111"/>
    <mergeCell ref="A100:G100"/>
    <mergeCell ref="B101:G101"/>
    <mergeCell ref="A102:G102"/>
    <mergeCell ref="A103:G103"/>
    <mergeCell ref="E104:G104"/>
    <mergeCell ref="E105:G105"/>
    <mergeCell ref="A95:G95"/>
    <mergeCell ref="A96:G96"/>
    <mergeCell ref="E97:G97"/>
    <mergeCell ref="E98:G98"/>
    <mergeCell ref="A99:C99"/>
    <mergeCell ref="E99:G99"/>
    <mergeCell ref="A89:G89"/>
    <mergeCell ref="E90:G90"/>
    <mergeCell ref="E91:G91"/>
    <mergeCell ref="A92:C92"/>
    <mergeCell ref="E92:G92"/>
    <mergeCell ref="B94:G94"/>
    <mergeCell ref="A84:B84"/>
    <mergeCell ref="E84:G84"/>
    <mergeCell ref="A85:C85"/>
    <mergeCell ref="E85:G85"/>
    <mergeCell ref="B87:G87"/>
    <mergeCell ref="A88:G88"/>
    <mergeCell ref="A78:C78"/>
    <mergeCell ref="E78:G78"/>
    <mergeCell ref="B80:G80"/>
    <mergeCell ref="A81:G81"/>
    <mergeCell ref="A82:G82"/>
    <mergeCell ref="A83:B83"/>
    <mergeCell ref="E83:G83"/>
    <mergeCell ref="A74:G74"/>
    <mergeCell ref="A75:G75"/>
    <mergeCell ref="A76:B76"/>
    <mergeCell ref="E76:G76"/>
    <mergeCell ref="A77:B77"/>
    <mergeCell ref="E77:G77"/>
    <mergeCell ref="A67:G67"/>
    <mergeCell ref="F68:G68"/>
    <mergeCell ref="F69:G69"/>
    <mergeCell ref="A70:F70"/>
    <mergeCell ref="B72:G72"/>
    <mergeCell ref="B73:G73"/>
    <mergeCell ref="A60:G60"/>
    <mergeCell ref="F61:G61"/>
    <mergeCell ref="F62:G62"/>
    <mergeCell ref="A63:F63"/>
    <mergeCell ref="B65:G65"/>
    <mergeCell ref="A66:G66"/>
    <mergeCell ref="B53:G53"/>
    <mergeCell ref="A54:G54"/>
    <mergeCell ref="A55:G55"/>
    <mergeCell ref="B57:G57"/>
    <mergeCell ref="B58:G58"/>
    <mergeCell ref="A59:G59"/>
    <mergeCell ref="A48:G48"/>
    <mergeCell ref="A49:G49"/>
    <mergeCell ref="B50:C50"/>
    <mergeCell ref="E50:G50"/>
    <mergeCell ref="B51:C51"/>
    <mergeCell ref="E51:G51"/>
    <mergeCell ref="A40:G40"/>
    <mergeCell ref="A41:G41"/>
    <mergeCell ref="B43:G43"/>
    <mergeCell ref="A44:G44"/>
    <mergeCell ref="A45:G45"/>
    <mergeCell ref="B47:G47"/>
    <mergeCell ref="B33:C33"/>
    <mergeCell ref="E33:G36"/>
    <mergeCell ref="B34:C34"/>
    <mergeCell ref="B35:C35"/>
    <mergeCell ref="B36:C36"/>
    <mergeCell ref="B39:G39"/>
    <mergeCell ref="E26:G26"/>
    <mergeCell ref="A27:C27"/>
    <mergeCell ref="B29:G29"/>
    <mergeCell ref="A30:G30"/>
    <mergeCell ref="A31:G31"/>
    <mergeCell ref="B32:C32"/>
    <mergeCell ref="E32:G32"/>
    <mergeCell ref="A23:G23"/>
    <mergeCell ref="A24:G24"/>
    <mergeCell ref="E25:G25"/>
    <mergeCell ref="B11:G11"/>
    <mergeCell ref="B13:G13"/>
    <mergeCell ref="B15:G15"/>
    <mergeCell ref="A16:G16"/>
    <mergeCell ref="A17:G17"/>
    <mergeCell ref="A18:B19"/>
    <mergeCell ref="D18:G18"/>
    <mergeCell ref="D19:G19"/>
    <mergeCell ref="A1:G1"/>
    <mergeCell ref="A2:G2"/>
    <mergeCell ref="A3:G3"/>
    <mergeCell ref="B5:F5"/>
    <mergeCell ref="B6:E6"/>
    <mergeCell ref="A10:G10"/>
    <mergeCell ref="A20:B20"/>
    <mergeCell ref="D20:G20"/>
    <mergeCell ref="B22:G22"/>
  </mergeCells>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35</vt:i4>
      </vt:variant>
    </vt:vector>
  </HeadingPairs>
  <TitlesOfParts>
    <vt:vector size="51" baseType="lpstr">
      <vt:lpstr>CRONOGRAMA SEM DESONERAÇÃO</vt:lpstr>
      <vt:lpstr>RESUMO SEM DESONERAÇÃO</vt:lpstr>
      <vt:lpstr>PLANILHA SEM DESON</vt:lpstr>
      <vt:lpstr>COMP CIVIL</vt:lpstr>
      <vt:lpstr>COMP ELE</vt:lpstr>
      <vt:lpstr>COMP ESTRUT</vt:lpstr>
      <vt:lpstr>COMP HIDR</vt:lpstr>
      <vt:lpstr>COMP ETE</vt:lpstr>
      <vt:lpstr>QT IMPLANTAÇÃO ARQ</vt:lpstr>
      <vt:lpstr>QT ESTRUTURAL</vt:lpstr>
      <vt:lpstr>QTITATIVO ELÉTRICA</vt:lpstr>
      <vt:lpstr>QTITQTIVO ARQ</vt:lpstr>
      <vt:lpstr>QTITATIVO MURETA</vt:lpstr>
      <vt:lpstr>QTITQTIVO ETE - ADELMO</vt:lpstr>
      <vt:lpstr>LISTA DE MAT HIDROSSAN</vt:lpstr>
      <vt:lpstr>BDI NÃO DESONERADO</vt:lpstr>
      <vt:lpstr>ACF</vt:lpstr>
      <vt:lpstr>ADELMO</vt:lpstr>
      <vt:lpstr>'BDI NÃO DESONERADO'!Area_de_impressao</vt:lpstr>
      <vt:lpstr>'COMP CIVIL'!Area_de_impressao</vt:lpstr>
      <vt:lpstr>'COMP ELE'!Area_de_impressao</vt:lpstr>
      <vt:lpstr>'COMP ESTRUT'!Area_de_impressao</vt:lpstr>
      <vt:lpstr>'COMP ETE'!Area_de_impressao</vt:lpstr>
      <vt:lpstr>'CRONOGRAMA SEM DESONERAÇÃO'!Area_de_impressao</vt:lpstr>
      <vt:lpstr>'PLANILHA SEM DESON'!Area_de_impressao</vt:lpstr>
      <vt:lpstr>'QT ESTRUTURAL'!Area_de_impressao</vt:lpstr>
      <vt:lpstr>'QTITQTIVO ETE - ADELMO'!Area_de_impressao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Regane Maria Tenroller</cp:lastModifiedBy>
  <cp:lastPrinted>2021-08-19T19:20:01Z</cp:lastPrinted>
  <dcterms:created xsi:type="dcterms:W3CDTF">2012-12-28T17:23:20Z</dcterms:created>
  <dcterms:modified xsi:type="dcterms:W3CDTF">2021-11-25T21:08:11Z</dcterms:modified>
</cp:coreProperties>
</file>